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Ольховей\"/>
    </mc:Choice>
  </mc:AlternateContent>
  <bookViews>
    <workbookView xWindow="0" yWindow="0" windowWidth="28800" windowHeight="11835"/>
  </bookViews>
  <sheets>
    <sheet name="сводка затрат" sheetId="1" r:id="rId1"/>
    <sheet name="Расчет с НДС" sheetId="2" r:id="rId2"/>
  </sheets>
  <definedNames>
    <definedName name="_xlnm._FilterDatabase" localSheetId="0" hidden="1">'сводка затрат'!$A$33:$AF$95</definedName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_xlnm.Print_Titles" localSheetId="0">'сводка затрат'!$A:$C,'сводка затрат'!$29:$33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'сводка затрат'!$A$1:$AB$91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/>
  <c r="J7" i="2"/>
  <c r="B7" i="2"/>
  <c r="F6" i="2"/>
  <c r="G6" i="2" s="1"/>
  <c r="H6" i="2" s="1"/>
  <c r="I6" i="2" s="1"/>
  <c r="J6" i="2" s="1"/>
  <c r="K6" i="2" s="1"/>
  <c r="E6" i="2"/>
  <c r="J3" i="2"/>
  <c r="Q90" i="1"/>
  <c r="T72" i="1"/>
  <c r="U72" i="1"/>
  <c r="P90" i="1"/>
  <c r="Z86" i="1"/>
  <c r="X41" i="1"/>
  <c r="X40" i="1"/>
  <c r="AB68" i="1"/>
  <c r="N46" i="1"/>
  <c r="X37" i="1"/>
  <c r="X38" i="1"/>
  <c r="N90" i="1"/>
  <c r="J8" i="2" l="1"/>
  <c r="K8" i="2"/>
  <c r="R90" i="1"/>
  <c r="R94" i="1" l="1"/>
  <c r="R87" i="1" l="1"/>
  <c r="T87" i="1" s="1"/>
  <c r="R86" i="1"/>
  <c r="V84" i="1"/>
  <c r="V80" i="1"/>
  <c r="AB79" i="1"/>
  <c r="G79" i="1"/>
  <c r="H79" i="1" s="1"/>
  <c r="Q77" i="1"/>
  <c r="R77" i="1" s="1"/>
  <c r="L77" i="1"/>
  <c r="M77" i="1" s="1"/>
  <c r="G77" i="1"/>
  <c r="H77" i="1" s="1"/>
  <c r="Q76" i="1"/>
  <c r="R76" i="1" s="1"/>
  <c r="L76" i="1"/>
  <c r="M76" i="1" s="1"/>
  <c r="H76" i="1"/>
  <c r="Q75" i="1"/>
  <c r="L75" i="1"/>
  <c r="L79" i="1" s="1"/>
  <c r="M79" i="1" s="1"/>
  <c r="H75" i="1"/>
  <c r="V73" i="1"/>
  <c r="S73" i="1"/>
  <c r="V69" i="1"/>
  <c r="S69" i="1"/>
  <c r="P69" i="1"/>
  <c r="K69" i="1"/>
  <c r="F69" i="1"/>
  <c r="Q68" i="1"/>
  <c r="R68" i="1" s="1"/>
  <c r="L68" i="1"/>
  <c r="M68" i="1" s="1"/>
  <c r="G68" i="1"/>
  <c r="H68" i="1" s="1"/>
  <c r="Q67" i="1"/>
  <c r="R67" i="1" s="1"/>
  <c r="M67" i="1"/>
  <c r="G67" i="1"/>
  <c r="H67" i="1" s="1"/>
  <c r="L66" i="1"/>
  <c r="M66" i="1" s="1"/>
  <c r="H66" i="1"/>
  <c r="L65" i="1"/>
  <c r="Q65" i="1" s="1"/>
  <c r="R65" i="1" s="1"/>
  <c r="T65" i="1" s="1"/>
  <c r="H65" i="1"/>
  <c r="Q64" i="1"/>
  <c r="R64" i="1" s="1"/>
  <c r="T64" i="1" s="1"/>
  <c r="M64" i="1"/>
  <c r="H64" i="1"/>
  <c r="G64" i="1"/>
  <c r="Q63" i="1"/>
  <c r="R63" i="1" s="1"/>
  <c r="M63" i="1"/>
  <c r="G63" i="1"/>
  <c r="H63" i="1" s="1"/>
  <c r="Q62" i="1"/>
  <c r="R62" i="1" s="1"/>
  <c r="T62" i="1" s="1"/>
  <c r="Y62" i="1" s="1"/>
  <c r="Z62" i="1" s="1"/>
  <c r="M62" i="1"/>
  <c r="G62" i="1"/>
  <c r="H62" i="1" s="1"/>
  <c r="Q61" i="1"/>
  <c r="R61" i="1" s="1"/>
  <c r="M61" i="1"/>
  <c r="G61" i="1"/>
  <c r="H61" i="1" s="1"/>
  <c r="T60" i="1"/>
  <c r="AA60" i="1" s="1"/>
  <c r="R60" i="1"/>
  <c r="L57" i="1"/>
  <c r="H57" i="1"/>
  <c r="Q56" i="1"/>
  <c r="L56" i="1"/>
  <c r="M56" i="1" s="1"/>
  <c r="H56" i="1"/>
  <c r="V53" i="1"/>
  <c r="S53" i="1"/>
  <c r="X48" i="1"/>
  <c r="W48" i="1"/>
  <c r="V48" i="1"/>
  <c r="S48" i="1"/>
  <c r="Q48" i="1"/>
  <c r="P48" i="1"/>
  <c r="L48" i="1"/>
  <c r="K48" i="1"/>
  <c r="G48" i="1"/>
  <c r="F48" i="1"/>
  <c r="E48" i="1"/>
  <c r="D48" i="1"/>
  <c r="O47" i="1"/>
  <c r="J47" i="1"/>
  <c r="I47" i="1"/>
  <c r="H47" i="1"/>
  <c r="J46" i="1"/>
  <c r="I46" i="1"/>
  <c r="H46" i="1"/>
  <c r="V44" i="1"/>
  <c r="V50" i="1" s="1"/>
  <c r="V54" i="1" s="1"/>
  <c r="V70" i="1" s="1"/>
  <c r="V81" i="1" s="1"/>
  <c r="V85" i="1" s="1"/>
  <c r="V88" i="1" s="1"/>
  <c r="S44" i="1"/>
  <c r="S50" i="1" s="1"/>
  <c r="S54" i="1" s="1"/>
  <c r="S70" i="1" s="1"/>
  <c r="P44" i="1"/>
  <c r="P50" i="1" s="1"/>
  <c r="P54" i="1" s="1"/>
  <c r="P70" i="1" s="1"/>
  <c r="P81" i="1" s="1"/>
  <c r="O44" i="1"/>
  <c r="K44" i="1"/>
  <c r="K50" i="1" s="1"/>
  <c r="K54" i="1" s="1"/>
  <c r="K70" i="1" s="1"/>
  <c r="K81" i="1" s="1"/>
  <c r="J44" i="1"/>
  <c r="F44" i="1"/>
  <c r="F50" i="1" s="1"/>
  <c r="F54" i="1" s="1"/>
  <c r="F70" i="1" s="1"/>
  <c r="F81" i="1" s="1"/>
  <c r="E44" i="1"/>
  <c r="E50" i="1" s="1"/>
  <c r="D44" i="1"/>
  <c r="D50" i="1" s="1"/>
  <c r="AB43" i="1"/>
  <c r="Y44" i="1"/>
  <c r="R43" i="1"/>
  <c r="T43" i="1" s="1"/>
  <c r="U43" i="1" s="1"/>
  <c r="Q42" i="1"/>
  <c r="R42" i="1" s="1"/>
  <c r="T42" i="1" s="1"/>
  <c r="L42" i="1"/>
  <c r="G42" i="1" s="1"/>
  <c r="H42" i="1" s="1"/>
  <c r="Q41" i="1"/>
  <c r="R41" i="1" s="1"/>
  <c r="L41" i="1"/>
  <c r="G41" i="1" s="1"/>
  <c r="H41" i="1" s="1"/>
  <c r="Q40" i="1"/>
  <c r="R40" i="1" s="1"/>
  <c r="T40" i="1" s="1"/>
  <c r="L40" i="1"/>
  <c r="L44" i="1" s="1"/>
  <c r="H40" i="1"/>
  <c r="R39" i="1"/>
  <c r="T39" i="1" s="1"/>
  <c r="M39" i="1"/>
  <c r="G39" i="1"/>
  <c r="H39" i="1" s="1"/>
  <c r="I38" i="1"/>
  <c r="H38" i="1"/>
  <c r="I37" i="1"/>
  <c r="H37" i="1"/>
  <c r="Q36" i="1"/>
  <c r="R36" i="1" s="1"/>
  <c r="M36" i="1"/>
  <c r="G36" i="1"/>
  <c r="H36" i="1" s="1"/>
  <c r="Q35" i="1"/>
  <c r="Q44" i="1" s="1"/>
  <c r="Q50" i="1" s="1"/>
  <c r="Q54" i="1" s="1"/>
  <c r="M35" i="1"/>
  <c r="G35" i="1"/>
  <c r="H35" i="1" s="1"/>
  <c r="AA29" i="1"/>
  <c r="M37" i="1" l="1"/>
  <c r="N37" i="1"/>
  <c r="R37" i="1" s="1"/>
  <c r="R44" i="1" s="1"/>
  <c r="M41" i="1"/>
  <c r="H48" i="1"/>
  <c r="M75" i="1"/>
  <c r="R35" i="1"/>
  <c r="T35" i="1" s="1"/>
  <c r="Q66" i="1"/>
  <c r="R66" i="1" s="1"/>
  <c r="T66" i="1" s="1"/>
  <c r="Y66" i="1" s="1"/>
  <c r="Z66" i="1" s="1"/>
  <c r="K83" i="1"/>
  <c r="K84" i="1" s="1"/>
  <c r="K85" i="1" s="1"/>
  <c r="P83" i="1"/>
  <c r="P84" i="1" s="1"/>
  <c r="P85" i="1" s="1"/>
  <c r="U40" i="1"/>
  <c r="W40" i="1"/>
  <c r="T37" i="1"/>
  <c r="Q57" i="1"/>
  <c r="M57" i="1"/>
  <c r="T63" i="1"/>
  <c r="T67" i="1"/>
  <c r="L50" i="1"/>
  <c r="L54" i="1" s="1"/>
  <c r="T41" i="1"/>
  <c r="M47" i="1"/>
  <c r="I48" i="1"/>
  <c r="N47" i="1"/>
  <c r="R47" i="1" s="1"/>
  <c r="E52" i="1"/>
  <c r="E53" i="1" s="1"/>
  <c r="E54" i="1" s="1"/>
  <c r="F83" i="1"/>
  <c r="F84" i="1" s="1"/>
  <c r="F85" i="1" s="1"/>
  <c r="F91" i="1" s="1"/>
  <c r="R56" i="1"/>
  <c r="AA56" i="1"/>
  <c r="H44" i="1"/>
  <c r="T36" i="1"/>
  <c r="AA39" i="1"/>
  <c r="U39" i="1"/>
  <c r="J48" i="1"/>
  <c r="J50" i="1" s="1"/>
  <c r="O46" i="1"/>
  <c r="M46" i="1"/>
  <c r="D52" i="1"/>
  <c r="T68" i="1"/>
  <c r="U42" i="1"/>
  <c r="W42" i="1"/>
  <c r="X42" i="1" s="1"/>
  <c r="G44" i="1"/>
  <c r="G50" i="1" s="1"/>
  <c r="G54" i="1" s="1"/>
  <c r="I44" i="1"/>
  <c r="I50" i="1" s="1"/>
  <c r="N38" i="1"/>
  <c r="R38" i="1" s="1"/>
  <c r="M38" i="1"/>
  <c r="W65" i="1"/>
  <c r="X65" i="1" s="1"/>
  <c r="M40" i="1"/>
  <c r="M42" i="1"/>
  <c r="Z43" i="1"/>
  <c r="Z44" i="1" s="1"/>
  <c r="N44" i="1"/>
  <c r="T61" i="1"/>
  <c r="M65" i="1"/>
  <c r="AA87" i="1"/>
  <c r="AB87" i="1" s="1"/>
  <c r="U87" i="1"/>
  <c r="AA62" i="1"/>
  <c r="AB62" i="1" s="1"/>
  <c r="U65" i="1"/>
  <c r="AA66" i="1"/>
  <c r="AB66" i="1" s="1"/>
  <c r="T86" i="1"/>
  <c r="U64" i="1"/>
  <c r="Y64" i="1"/>
  <c r="Z64" i="1" s="1"/>
  <c r="U60" i="1"/>
  <c r="U62" i="1"/>
  <c r="U66" i="1"/>
  <c r="R75" i="1"/>
  <c r="Q79" i="1"/>
  <c r="R79" i="1" s="1"/>
  <c r="S76" i="1"/>
  <c r="T76" i="1" s="1"/>
  <c r="M44" i="1" l="1"/>
  <c r="Q69" i="1"/>
  <c r="Q70" i="1" s="1"/>
  <c r="N48" i="1"/>
  <c r="N50" i="1" s="1"/>
  <c r="AA65" i="1"/>
  <c r="AB65" i="1" s="1"/>
  <c r="M48" i="1"/>
  <c r="E59" i="1"/>
  <c r="E58" i="1"/>
  <c r="K90" i="1"/>
  <c r="K91" i="1" s="1"/>
  <c r="U86" i="1"/>
  <c r="Y86" i="1"/>
  <c r="I52" i="1"/>
  <c r="M50" i="1"/>
  <c r="W41" i="1"/>
  <c r="U41" i="1"/>
  <c r="P91" i="1"/>
  <c r="P88" i="1"/>
  <c r="U61" i="1"/>
  <c r="Y61" i="1"/>
  <c r="Z61" i="1" s="1"/>
  <c r="J52" i="1"/>
  <c r="J53" i="1" s="1"/>
  <c r="J54" i="1" s="1"/>
  <c r="U76" i="1"/>
  <c r="S75" i="1"/>
  <c r="T75" i="1"/>
  <c r="T56" i="1"/>
  <c r="T77" i="1"/>
  <c r="T79" i="1"/>
  <c r="T38" i="1"/>
  <c r="T44" i="1" s="1"/>
  <c r="H50" i="1"/>
  <c r="U36" i="1"/>
  <c r="W36" i="1"/>
  <c r="X36" i="1" s="1"/>
  <c r="T47" i="1"/>
  <c r="U67" i="1"/>
  <c r="Y67" i="1"/>
  <c r="Z67" i="1" s="1"/>
  <c r="AA57" i="1"/>
  <c r="AB57" i="1" s="1"/>
  <c r="R57" i="1"/>
  <c r="W37" i="1"/>
  <c r="U37" i="1"/>
  <c r="AA68" i="1"/>
  <c r="H52" i="1"/>
  <c r="D53" i="1"/>
  <c r="O48" i="1"/>
  <c r="O50" i="1" s="1"/>
  <c r="R46" i="1"/>
  <c r="AB39" i="1"/>
  <c r="AB44" i="1" s="1"/>
  <c r="AA44" i="1"/>
  <c r="AB56" i="1"/>
  <c r="U63" i="1"/>
  <c r="Y63" i="1"/>
  <c r="Z63" i="1" s="1"/>
  <c r="W35" i="1"/>
  <c r="U35" i="1"/>
  <c r="AA64" i="1"/>
  <c r="AB64" i="1" s="1"/>
  <c r="E69" i="1" l="1"/>
  <c r="E70" i="1" s="1"/>
  <c r="E81" i="1" s="1"/>
  <c r="E83" i="1" s="1"/>
  <c r="E84" i="1" s="1"/>
  <c r="E85" i="1" s="1"/>
  <c r="E91" i="1" s="1"/>
  <c r="AA67" i="1"/>
  <c r="AB67" i="1" s="1"/>
  <c r="H53" i="1"/>
  <c r="D54" i="1"/>
  <c r="U75" i="1"/>
  <c r="X35" i="1"/>
  <c r="T46" i="1"/>
  <c r="U47" i="1"/>
  <c r="Y47" i="1"/>
  <c r="Z47" i="1" s="1"/>
  <c r="U79" i="1"/>
  <c r="W79" i="1"/>
  <c r="X79" i="1" s="1"/>
  <c r="J59" i="1"/>
  <c r="J58" i="1"/>
  <c r="AA61" i="1"/>
  <c r="O52" i="1"/>
  <c r="O53" i="1" s="1"/>
  <c r="O54" i="1" s="1"/>
  <c r="I53" i="1"/>
  <c r="M52" i="1"/>
  <c r="W38" i="1"/>
  <c r="W44" i="1" s="1"/>
  <c r="U38" i="1"/>
  <c r="AA63" i="1"/>
  <c r="AB63" i="1" s="1"/>
  <c r="N52" i="1"/>
  <c r="R50" i="1"/>
  <c r="U77" i="1"/>
  <c r="R48" i="1"/>
  <c r="T57" i="1"/>
  <c r="U56" i="1"/>
  <c r="S80" i="1"/>
  <c r="S81" i="1" s="1"/>
  <c r="S85" i="1" s="1"/>
  <c r="S88" i="1" s="1"/>
  <c r="O59" i="1" l="1"/>
  <c r="O58" i="1"/>
  <c r="O69" i="1" s="1"/>
  <c r="O70" i="1" s="1"/>
  <c r="O81" i="1" s="1"/>
  <c r="W50" i="1"/>
  <c r="Y46" i="1"/>
  <c r="AA46" i="1" s="1"/>
  <c r="T48" i="1"/>
  <c r="N53" i="1"/>
  <c r="R52" i="1"/>
  <c r="J69" i="1"/>
  <c r="J70" i="1" s="1"/>
  <c r="J81" i="1" s="1"/>
  <c r="U57" i="1"/>
  <c r="X44" i="1"/>
  <c r="X50" i="1" s="1"/>
  <c r="M53" i="1"/>
  <c r="I54" i="1"/>
  <c r="AB61" i="1"/>
  <c r="AA47" i="1"/>
  <c r="H54" i="1"/>
  <c r="D59" i="1"/>
  <c r="H59" i="1" s="1"/>
  <c r="D58" i="1"/>
  <c r="U44" i="1"/>
  <c r="O83" i="1" l="1"/>
  <c r="O84" i="1" s="1"/>
  <c r="O85" i="1" s="1"/>
  <c r="U48" i="1"/>
  <c r="AB47" i="1"/>
  <c r="R53" i="1"/>
  <c r="N54" i="1"/>
  <c r="W52" i="1"/>
  <c r="J83" i="1"/>
  <c r="J84" i="1" s="1"/>
  <c r="J85" i="1" s="1"/>
  <c r="AA48" i="1"/>
  <c r="D69" i="1"/>
  <c r="H58" i="1"/>
  <c r="T50" i="1"/>
  <c r="M54" i="1"/>
  <c r="I59" i="1"/>
  <c r="M59" i="1" s="1"/>
  <c r="I58" i="1"/>
  <c r="Y48" i="1"/>
  <c r="Z48" i="1"/>
  <c r="Z50" i="1" s="1"/>
  <c r="AB48" i="1" l="1"/>
  <c r="AB50" i="1" s="1"/>
  <c r="O90" i="1"/>
  <c r="O91" i="1" s="1"/>
  <c r="O88" i="1"/>
  <c r="J90" i="1"/>
  <c r="J91" i="1" s="1"/>
  <c r="Y50" i="1"/>
  <c r="U50" i="1"/>
  <c r="W53" i="1"/>
  <c r="W54" i="1" s="1"/>
  <c r="X52" i="1"/>
  <c r="X53" i="1" s="1"/>
  <c r="X54" i="1" s="1"/>
  <c r="I69" i="1"/>
  <c r="M58" i="1"/>
  <c r="T52" i="1"/>
  <c r="D70" i="1"/>
  <c r="AA50" i="1"/>
  <c r="N58" i="1"/>
  <c r="N59" i="1"/>
  <c r="R59" i="1" s="1"/>
  <c r="R54" i="1"/>
  <c r="AA52" i="1" l="1"/>
  <c r="D81" i="1"/>
  <c r="Y52" i="1"/>
  <c r="W59" i="1"/>
  <c r="X59" i="1" s="1"/>
  <c r="W58" i="1"/>
  <c r="T53" i="1"/>
  <c r="U52" i="1"/>
  <c r="I70" i="1"/>
  <c r="N69" i="1"/>
  <c r="R58" i="1"/>
  <c r="I81" i="1" l="1"/>
  <c r="R69" i="1"/>
  <c r="N70" i="1"/>
  <c r="D83" i="1"/>
  <c r="T54" i="1"/>
  <c r="Z52" i="1"/>
  <c r="Z53" i="1" s="1"/>
  <c r="Z54" i="1" s="1"/>
  <c r="Y53" i="1"/>
  <c r="Y54" i="1" s="1"/>
  <c r="Y59" i="1"/>
  <c r="Z59" i="1" s="1"/>
  <c r="W69" i="1"/>
  <c r="W70" i="1" s="1"/>
  <c r="X58" i="1"/>
  <c r="X69" i="1" s="1"/>
  <c r="X70" i="1" s="1"/>
  <c r="AA53" i="1"/>
  <c r="AA54" i="1" s="1"/>
  <c r="AB52" i="1"/>
  <c r="AB53" i="1" s="1"/>
  <c r="AB54" i="1" s="1"/>
  <c r="AA59" i="1"/>
  <c r="AB59" i="1" s="1"/>
  <c r="U53" i="1"/>
  <c r="D84" i="1" l="1"/>
  <c r="R70" i="1"/>
  <c r="N81" i="1"/>
  <c r="W78" i="1"/>
  <c r="W72" i="1"/>
  <c r="T59" i="1"/>
  <c r="T58" i="1"/>
  <c r="U54" i="1"/>
  <c r="I83" i="1"/>
  <c r="AA58" i="1"/>
  <c r="Y58" i="1"/>
  <c r="I84" i="1" l="1"/>
  <c r="U59" i="1"/>
  <c r="Q78" i="1"/>
  <c r="Q80" i="1" s="1"/>
  <c r="Q72" i="1"/>
  <c r="Y69" i="1"/>
  <c r="Y70" i="1" s="1"/>
  <c r="Z58" i="1"/>
  <c r="Z69" i="1" s="1"/>
  <c r="Z70" i="1" s="1"/>
  <c r="U58" i="1"/>
  <c r="T69" i="1"/>
  <c r="N83" i="1"/>
  <c r="W73" i="1"/>
  <c r="X72" i="1"/>
  <c r="X73" i="1" s="1"/>
  <c r="AB58" i="1"/>
  <c r="AB69" i="1" s="1"/>
  <c r="AB70" i="1" s="1"/>
  <c r="AA69" i="1"/>
  <c r="AA70" i="1" s="1"/>
  <c r="W80" i="1"/>
  <c r="X78" i="1"/>
  <c r="X80" i="1" s="1"/>
  <c r="D85" i="1"/>
  <c r="X81" i="1" l="1"/>
  <c r="U69" i="1"/>
  <c r="Y72" i="1"/>
  <c r="Y78" i="1"/>
  <c r="N84" i="1"/>
  <c r="R72" i="1"/>
  <c r="Q73" i="1"/>
  <c r="Q81" i="1" s="1"/>
  <c r="D91" i="1"/>
  <c r="G60" i="1"/>
  <c r="W81" i="1"/>
  <c r="I85" i="1"/>
  <c r="AA78" i="1"/>
  <c r="T70" i="1"/>
  <c r="R78" i="1"/>
  <c r="R80" i="1"/>
  <c r="AA80" i="1" l="1"/>
  <c r="AB78" i="1"/>
  <c r="AB80" i="1" s="1"/>
  <c r="W83" i="1"/>
  <c r="R73" i="1"/>
  <c r="Z78" i="1"/>
  <c r="Z80" i="1" s="1"/>
  <c r="Y80" i="1"/>
  <c r="G69" i="1"/>
  <c r="H60" i="1"/>
  <c r="Z72" i="1"/>
  <c r="Z73" i="1" s="1"/>
  <c r="Y73" i="1"/>
  <c r="Y81" i="1" s="1"/>
  <c r="U70" i="1"/>
  <c r="T78" i="1"/>
  <c r="I90" i="1"/>
  <c r="I91" i="1" s="1"/>
  <c r="L60" i="1"/>
  <c r="N85" i="1"/>
  <c r="Y83" i="1" l="1"/>
  <c r="X83" i="1"/>
  <c r="X84" i="1" s="1"/>
  <c r="X85" i="1" s="1"/>
  <c r="X88" i="1" s="1"/>
  <c r="W84" i="1"/>
  <c r="W85" i="1" s="1"/>
  <c r="W88" i="1" s="1"/>
  <c r="M60" i="1"/>
  <c r="L69" i="1"/>
  <c r="G70" i="1"/>
  <c r="H69" i="1"/>
  <c r="AA72" i="1"/>
  <c r="T73" i="1"/>
  <c r="Z81" i="1"/>
  <c r="Q83" i="1"/>
  <c r="R81" i="1"/>
  <c r="N88" i="1"/>
  <c r="N91" i="1"/>
  <c r="U78" i="1"/>
  <c r="T80" i="1"/>
  <c r="T81" i="1" l="1"/>
  <c r="H70" i="1"/>
  <c r="L70" i="1"/>
  <c r="M69" i="1"/>
  <c r="U80" i="1"/>
  <c r="U73" i="1"/>
  <c r="AA73" i="1"/>
  <c r="AA81" i="1" s="1"/>
  <c r="AB72" i="1"/>
  <c r="AB73" i="1" s="1"/>
  <c r="AB81" i="1" s="1"/>
  <c r="AG73" i="1"/>
  <c r="Q84" i="1"/>
  <c r="R83" i="1"/>
  <c r="Y84" i="1"/>
  <c r="Y85" i="1" s="1"/>
  <c r="Y88" i="1" s="1"/>
  <c r="Z83" i="1"/>
  <c r="Z84" i="1" s="1"/>
  <c r="Z85" i="1" s="1"/>
  <c r="Z88" i="1" s="1"/>
  <c r="U81" i="1" l="1"/>
  <c r="G78" i="1"/>
  <c r="G72" i="1"/>
  <c r="R84" i="1"/>
  <c r="Q85" i="1"/>
  <c r="Q88" i="1" s="1"/>
  <c r="M70" i="1"/>
  <c r="T83" i="1"/>
  <c r="L72" i="1" l="1"/>
  <c r="L78" i="1"/>
  <c r="T84" i="1"/>
  <c r="AA83" i="1"/>
  <c r="U83" i="1"/>
  <c r="H78" i="1"/>
  <c r="G80" i="1"/>
  <c r="H80" i="1" s="1"/>
  <c r="R85" i="1"/>
  <c r="H72" i="1"/>
  <c r="G73" i="1"/>
  <c r="Q91" i="1" l="1"/>
  <c r="R91" i="1" s="1"/>
  <c r="L80" i="1"/>
  <c r="M80" i="1" s="1"/>
  <c r="M78" i="1"/>
  <c r="H73" i="1"/>
  <c r="G81" i="1"/>
  <c r="R88" i="1"/>
  <c r="AB83" i="1"/>
  <c r="AB84" i="1" s="1"/>
  <c r="AB85" i="1" s="1"/>
  <c r="AB88" i="1" s="1"/>
  <c r="AA84" i="1"/>
  <c r="AA85" i="1" s="1"/>
  <c r="AA88" i="1" s="1"/>
  <c r="W92" i="1" s="1"/>
  <c r="U84" i="1"/>
  <c r="T85" i="1"/>
  <c r="L73" i="1"/>
  <c r="M72" i="1"/>
  <c r="M73" i="1" l="1"/>
  <c r="L81" i="1"/>
  <c r="U85" i="1"/>
  <c r="G83" i="1"/>
  <c r="H81" i="1"/>
  <c r="T88" i="1"/>
  <c r="L83" i="1" l="1"/>
  <c r="M81" i="1"/>
  <c r="X92" i="1"/>
  <c r="U88" i="1"/>
  <c r="G84" i="1"/>
  <c r="H83" i="1"/>
  <c r="L84" i="1" l="1"/>
  <c r="M83" i="1"/>
  <c r="H84" i="1"/>
  <c r="G85" i="1"/>
  <c r="G91" i="1" l="1"/>
  <c r="H91" i="1" s="1"/>
  <c r="H85" i="1"/>
  <c r="M84" i="1"/>
  <c r="L85" i="1"/>
  <c r="L90" i="1" l="1"/>
  <c r="M90" i="1" s="1"/>
  <c r="M85" i="1"/>
  <c r="L91" i="1" l="1"/>
  <c r="M91" i="1" s="1"/>
  <c r="D6" i="1" s="1"/>
</calcChain>
</file>

<file path=xl/comments1.xml><?xml version="1.0" encoding="utf-8"?>
<comments xmlns="http://schemas.openxmlformats.org/spreadsheetml/2006/main">
  <authors>
    <author>Сверчкова Оксана Григорьевна</author>
  </authors>
  <commentList>
    <comment ref="K7" authorId="0" shapeId="0">
      <text>
        <r>
          <rPr>
            <b/>
            <sz val="9"/>
            <color indexed="81"/>
            <rFont val="Tahoma"/>
            <family val="2"/>
            <charset val="204"/>
          </rPr>
          <t>:</t>
        </r>
        <r>
          <rPr>
            <sz val="9"/>
            <color indexed="81"/>
            <rFont val="Tahoma"/>
            <family val="2"/>
            <charset val="204"/>
          </rPr>
          <t xml:space="preserve">
723 749,95 т.р. - опоры
2075,4 - з/плата до 2019 г.</t>
        </r>
      </text>
    </comment>
  </commentList>
</comments>
</file>

<file path=xl/sharedStrings.xml><?xml version="1.0" encoding="utf-8"?>
<sst xmlns="http://schemas.openxmlformats.org/spreadsheetml/2006/main" count="168" uniqueCount="148">
  <si>
    <t>Форма № 1</t>
  </si>
  <si>
    <t xml:space="preserve">Заказчик </t>
  </si>
  <si>
    <t>ПАО "МРСК Северо-Запада"</t>
  </si>
  <si>
    <t>(наименование организации)</t>
  </si>
  <si>
    <t>"Утвержден" «    »________________2018 г.</t>
  </si>
  <si>
    <t>Сводный сметный расчет в сумме</t>
  </si>
  <si>
    <t>тыс. руб.</t>
  </si>
  <si>
    <t xml:space="preserve">В том числе возвратных сумм </t>
  </si>
  <si>
    <t>Приказ филиала ПАО "МРСК Северо-Запада" "Комиэнерго"  от                августа 2018 №</t>
  </si>
  <si>
    <t>(ссылка на документ об утверждении)</t>
  </si>
  <si>
    <t>«    »________________2018 г.</t>
  </si>
  <si>
    <t>(наименование стройки)</t>
  </si>
  <si>
    <t>Индексы перевода в текущий уровень цен.</t>
  </si>
  <si>
    <t>Индекс
 1 кв. 2018 г</t>
  </si>
  <si>
    <t>СМР для ВЛ  с К=1,005</t>
  </si>
  <si>
    <t>*1,005</t>
  </si>
  <si>
    <t>Оборудование</t>
  </si>
  <si>
    <t>ПНР с К=1,005</t>
  </si>
  <si>
    <t>Вынос  в натуру</t>
  </si>
  <si>
    <t>Проектные работы</t>
  </si>
  <si>
    <t>Изыскания</t>
  </si>
  <si>
    <t>Прочие работы</t>
  </si>
  <si>
    <t>№ пп</t>
  </si>
  <si>
    <t>Номера сметных расчетов и смет</t>
  </si>
  <si>
    <t>Наименование глав, объектов, работ и затрат</t>
  </si>
  <si>
    <t>БЛОК 1
Сметная стоимость строительства  
в ценах на 01.01.2000 года</t>
  </si>
  <si>
    <t>БЛОК 2
Утвержденная сметная стоимость  строительства объекта  (в ценах 1 кв.2018 г.)</t>
  </si>
  <si>
    <t>БЛОК 3
Стоимость  объекта  в прогнозных ценах 2021 года</t>
  </si>
  <si>
    <t>строитель-
ных работ</t>
  </si>
  <si>
    <t>монтажных работ</t>
  </si>
  <si>
    <t>оборудования, мебели, инвентаря</t>
  </si>
  <si>
    <t>прочих</t>
  </si>
  <si>
    <t>Общая сметная стоимость, тыс. руб.</t>
  </si>
  <si>
    <t xml:space="preserve">Фактические затраты </t>
  </si>
  <si>
    <t>Необходимо освоить</t>
  </si>
  <si>
    <t>в том числе Затраты с НДС</t>
  </si>
  <si>
    <t>в том числе Затраты без НДС</t>
  </si>
  <si>
    <t>в том числе по годам</t>
  </si>
  <si>
    <t>без НДС</t>
  </si>
  <si>
    <t>с НДС</t>
  </si>
  <si>
    <t>Глава 1. Подготовка территории строительства</t>
  </si>
  <si>
    <t>Отчет об оценке №01/1209 от 17.12.2015г.</t>
  </si>
  <si>
    <t>Рыночная стоимость величины годовой арендной платы за пользование частью земельного участка с кадастровым №11:16:0000000:45, площадью 730 499 м2 (81195,00/8,72/1,18)</t>
  </si>
  <si>
    <t>Отчет об оценке  №01/1209 от 17.12.2015г.</t>
  </si>
  <si>
    <t>Размер убытков (упущенной выгоды) при временном занятии части земельного участка с кадастровым №11:16:0000000:45, площадью 730 499 м2 (оленеводы) (4648038,00/8,72/1,18)</t>
  </si>
  <si>
    <t>ОСР 01-01</t>
  </si>
  <si>
    <t>Подготовка территории строительства МО ГО Воркута</t>
  </si>
  <si>
    <t>ОСР 01-02</t>
  </si>
  <si>
    <t>Подготовка территории строительства МО ГО Инта</t>
  </si>
  <si>
    <t>Расчет стоимости биологической и технической рекультивации часть земельного участка с кадастровым №11:16:0000000:45, площадью 730499 м2 (2352207,00/8,72/1,18)</t>
  </si>
  <si>
    <t>Смета 01-03</t>
  </si>
  <si>
    <t>Вынос трассы ВЛ 110 кВ в натуру</t>
  </si>
  <si>
    <t>Договор от 15.11.2016г. № С0990513/88/16-А3 ГУ "Печорское лесничество"</t>
  </si>
  <si>
    <t>Аренда лесного участка за 2 года (4113850,21*2/8,72)</t>
  </si>
  <si>
    <t>Расчет</t>
  </si>
  <si>
    <t>Арендная плата на 2018 - 2019г. (9308692,01/8,72)</t>
  </si>
  <si>
    <t>Арендная плата на 2020-2021</t>
  </si>
  <si>
    <t>Итого по Главе 1. "Подготовка территории строительства"</t>
  </si>
  <si>
    <t>Глава 2. Основные объекты строительства</t>
  </si>
  <si>
    <t>ОСР 02-01</t>
  </si>
  <si>
    <t>Основные объекты строительства МО ГО Воркута</t>
  </si>
  <si>
    <t>ОСР 02-02</t>
  </si>
  <si>
    <t>Основные объекты строительства МО ГО Инта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</si>
  <si>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</si>
  <si>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</si>
  <si>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</si>
  <si>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</si>
  <si>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п.2.5</t>
  </si>
  <si>
    <t>Временные здания и сооружения - 3,3%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</si>
  <si>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</si>
  <si>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</si>
  <si>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</si>
  <si>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ЛСР 09-01</t>
  </si>
  <si>
    <t>Пусконаладочные работы МО ГО Воркута</t>
  </si>
  <si>
    <t>ЛСР 09-02</t>
  </si>
  <si>
    <t>Пусконаладочные работы МО ГО Инта</t>
  </si>
  <si>
    <t>ГСН 81-05-02-2007 табл. 4 п.2.7, прил.№1 п.11а</t>
  </si>
  <si>
    <t>Производство работ в зимнее время - 2,21%</t>
  </si>
  <si>
    <t>ГСН-81-05-02-2007 табл.2</t>
  </si>
  <si>
    <t>Снегоборьба - 0,4%</t>
  </si>
  <si>
    <t>Письмо Минтруда и Госстроя РФ №1336-ВК/1-Д от 10.10.91</t>
  </si>
  <si>
    <t>Затраты на премирование за ввод объекта в эксплуатацию (2,13%)</t>
  </si>
  <si>
    <t>Расчет №1</t>
  </si>
  <si>
    <t>Затраты по вахтовому методу ведения работ (17099055,00/8,72)</t>
  </si>
  <si>
    <t>Расчет №2</t>
  </si>
  <si>
    <t>Затраты надбавок взамен суточных (6361200,00/8,72)</t>
  </si>
  <si>
    <t>Расчет №3</t>
  </si>
  <si>
    <t>Затраты на содержание вахтового поселка (28832111,00/8,72)</t>
  </si>
  <si>
    <t>Расчет №4</t>
  </si>
  <si>
    <t>Затраты на оплату дней междувахтового отдыха за работу сверх нормальной продолжительности рабочего времени на вахте (41234147,00/8,72)</t>
  </si>
  <si>
    <t>Расчет №5</t>
  </si>
  <si>
    <t>Перебазировка техники ВЛ 110кВ</t>
  </si>
  <si>
    <t>Расчет №6</t>
  </si>
  <si>
    <t>Затраты по ежедневной перевозке автомобильным транспортом работников до места проведения работ</t>
  </si>
  <si>
    <t>017/15-7-2015-ВЛ-ООС табл.45</t>
  </si>
  <si>
    <t>Компенсационные выплаты за загрязнение окружающей среды (187025,30/8,72)</t>
  </si>
  <si>
    <t>Договор от 19.01.2015 №222/03</t>
  </si>
  <si>
    <t>Технологическое присоединение энергопринимающих устройств (26190033,87/1,18/8,72)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</si>
  <si>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</si>
  <si>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</si>
  <si>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</si>
  <si>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21.06.2010г. №468</t>
  </si>
  <si>
    <t>Строительный контроль (технический надзор) 1,28%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</si>
  <si>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</si>
  <si>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</si>
  <si>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Приложение №2 к договору от 20.05.2015г. №017/15-7</t>
  </si>
  <si>
    <t>Проектные работы по ВЛ (35843598,04/3,92)</t>
  </si>
  <si>
    <t>Выполнение комплекса изысканий ВЛ (23504042,88/3,93)</t>
  </si>
  <si>
    <t>Экспертиза (1935450,36/3,92)</t>
  </si>
  <si>
    <t>МДС 81-35.2004 прил.8 п.12.3</t>
  </si>
  <si>
    <t>Авторский надзор - 0,2%</t>
  </si>
  <si>
    <t>ПОСТАНОВЛЕНИЕ Правительства РФ от 30 апреля 2013 г. N 382</t>
  </si>
  <si>
    <t>Плата за проведение публичного технологического и ценового аудита инвестиционных проектов (0,58% от суммарной стоимости изготовления проектной документации и материалов инженерных изысканий)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</si>
  <si>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</si>
  <si>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</si>
  <si>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</si>
  <si>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МДС 81-35.2004г.п.4.96</t>
  </si>
  <si>
    <t>Непредвиденные затраты (3%)</t>
  </si>
  <si>
    <t>Итого "Непредвиденные затраты"</t>
  </si>
  <si>
    <t>Итого с учетом "Непредвиденные затраты"</t>
  </si>
  <si>
    <t>% по кредиту 2020 год</t>
  </si>
  <si>
    <t>% по кредиту 2021 год</t>
  </si>
  <si>
    <t>Итого по объекту</t>
  </si>
  <si>
    <t>Налоги и обязательные платежи</t>
  </si>
  <si>
    <t>НДС (18%)/20%</t>
  </si>
  <si>
    <t>Всего по сводному расчету</t>
  </si>
  <si>
    <t>проверка по годам без НДС</t>
  </si>
  <si>
    <t>код проекта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</si>
  <si>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</si>
  <si>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</si>
  <si>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</si>
  <si>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</si>
  <si>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</si>
  <si>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</si>
  <si>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</si>
  <si>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</si>
  <si>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</si>
  <si>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</si>
  <si>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</si>
  <si>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</si>
  <si>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</si>
  <si>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</si>
  <si>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J_009-51-2-01.12-0028</t>
  </si>
  <si>
    <t>ФОТ, в т.ч. ЕСН</t>
  </si>
  <si>
    <t>Плановая стоимость , тыс. руб. без НДС, в том числе:</t>
  </si>
  <si>
    <t>СВОДКА ЗАТРАТ</t>
  </si>
  <si>
    <t>"Строительство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км)"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</si>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</sst>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₽_-;\-* #,##0\ _₽_-;_-* &quot;-&quot;\ _₽_-;_-@_-"/>
    <numFmt numFmtId="43" formatCode="_-* #,##0.00\ _₽_-;\-* #,##0.00\ _₽_-;_-* &quot;-&quot;??\ _₽_-;_-@_-"/>
    <numFmt numFmtId="164" formatCode="0.0000"/>
    <numFmt numFmtId="165" formatCode="_-* #,##0.00\ _₽_-;\-* #,##0.00\ _₽_-;_-* &quot;-&quot;\ _₽_-;_-@_-"/>
    <numFmt numFmtId="166" formatCode="#,##0.0000"/>
    <numFmt numFmtId="167" formatCode="#,##0.000"/>
    <numFmt numFmtId="168" formatCode="#,##0.0"/>
    <numFmt numFmtId="169" formatCode="#,##0.00000"/>
    <numFmt numFmtId="170" formatCode="_-* #,##0.000\ _₽_-;\-* #,##0.000\ _₽_-;_-* &quot;-&quot;\ _₽_-;_-@_-"/>
    <numFmt numFmtId="171" formatCode="_-* #,##0_р_._-;\-* #,##0_р_._-;_-* &quot;-&quot;_р_._-;_-@_-"/>
    <numFmt numFmtId="172" formatCode="0.00000"/>
    <numFmt numFmtId="173" formatCode="_-* #,##0.000\ _₽_-;\-* #,##0.000\ _₽_-;_-* &quot;-&quot;???\ _₽_-;_-@_-"/>
    <numFmt numFmtId="174" formatCode="_-* #,##0.0000_р_._-;\-* #,##0.0000_р_._-;_-* &quot;-&quot;_р_._-;_-@_-"/>
    <numFmt numFmtId="175" formatCode="_-* #,##0.000000_р_._-;\-* #,##0.000000_р_._-;_-* &quot;-&quot;_р_._-;_-@_-"/>
    <numFmt numFmtId="176" formatCode="_-* #,##0.0000\ _₽_-;\-* #,##0.0000\ _₽_-;_-* &quot;-&quot;????\ _₽_-;_-@_-"/>
    <numFmt numFmtId="177" formatCode="#,##0.000_ ;\-#,##0.000\ "/>
    <numFmt numFmtId="178" formatCode="_-* #,##0.00000_р_._-;\-* #,##0.00000_р_._-;_-* &quot;-&quot;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20" fillId="0" borderId="0"/>
  </cellStyleXfs>
  <cellXfs count="313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9" fillId="0" borderId="0" xfId="0" applyFont="1"/>
    <xf numFmtId="3" fontId="1" fillId="0" borderId="0" xfId="0" applyNumberFormat="1" applyFont="1"/>
    <xf numFmtId="0" fontId="1" fillId="0" borderId="9" xfId="0" applyFont="1" applyBorder="1"/>
    <xf numFmtId="9" fontId="1" fillId="0" borderId="9" xfId="0" applyNumberFormat="1" applyFont="1" applyBorder="1"/>
    <xf numFmtId="0" fontId="1" fillId="0" borderId="0" xfId="0" applyFont="1" applyBorder="1"/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49" fontId="1" fillId="0" borderId="28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vertical="top" wrapText="1"/>
    </xf>
    <xf numFmtId="0" fontId="1" fillId="0" borderId="33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horizontal="right" vertical="top" wrapText="1"/>
    </xf>
    <xf numFmtId="4" fontId="1" fillId="0" borderId="20" xfId="0" applyNumberFormat="1" applyFont="1" applyBorder="1" applyAlignment="1">
      <alignment horizontal="right" vertical="top" wrapText="1"/>
    </xf>
    <xf numFmtId="4" fontId="1" fillId="4" borderId="20" xfId="0" applyNumberFormat="1" applyFont="1" applyFill="1" applyBorder="1" applyAlignment="1">
      <alignment horizontal="right" vertical="top" wrapText="1"/>
    </xf>
    <xf numFmtId="4" fontId="1" fillId="0" borderId="19" xfId="0" applyNumberFormat="1" applyFont="1" applyBorder="1" applyAlignment="1">
      <alignment horizontal="right" vertical="top" wrapText="1"/>
    </xf>
    <xf numFmtId="4" fontId="1" fillId="0" borderId="19" xfId="0" applyNumberFormat="1" applyFont="1" applyFill="1" applyBorder="1" applyAlignment="1">
      <alignment horizontal="right" vertical="top" wrapText="1"/>
    </xf>
    <xf numFmtId="4" fontId="1" fillId="0" borderId="24" xfId="0" applyNumberFormat="1" applyFont="1" applyFill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right" vertical="top" wrapText="1"/>
    </xf>
    <xf numFmtId="41" fontId="1" fillId="0" borderId="0" xfId="0" applyNumberFormat="1" applyFont="1"/>
    <xf numFmtId="0" fontId="1" fillId="6" borderId="4" xfId="0" applyFont="1" applyFill="1" applyBorder="1" applyAlignment="1">
      <alignment horizontal="center" vertical="top" wrapText="1"/>
    </xf>
    <xf numFmtId="49" fontId="1" fillId="6" borderId="4" xfId="0" applyNumberFormat="1" applyFont="1" applyFill="1" applyBorder="1" applyAlignment="1">
      <alignment horizontal="left" vertical="top" wrapText="1"/>
    </xf>
    <xf numFmtId="49" fontId="1" fillId="6" borderId="5" xfId="0" applyNumberFormat="1" applyFont="1" applyFill="1" applyBorder="1" applyAlignment="1">
      <alignment horizontal="left" vertical="center" wrapText="1"/>
    </xf>
    <xf numFmtId="0" fontId="1" fillId="6" borderId="10" xfId="0" applyFont="1" applyFill="1" applyBorder="1" applyAlignment="1">
      <alignment horizontal="right" vertical="top"/>
    </xf>
    <xf numFmtId="0" fontId="1" fillId="6" borderId="4" xfId="0" applyFont="1" applyFill="1" applyBorder="1" applyAlignment="1">
      <alignment horizontal="right" vertical="top"/>
    </xf>
    <xf numFmtId="2" fontId="1" fillId="6" borderId="4" xfId="0" applyNumberFormat="1" applyFont="1" applyFill="1" applyBorder="1" applyAlignment="1">
      <alignment horizontal="right" vertical="top" wrapText="1"/>
    </xf>
    <xf numFmtId="4" fontId="1" fillId="0" borderId="10" xfId="0" applyNumberFormat="1" applyFont="1" applyBorder="1" applyAlignment="1">
      <alignment horizontal="right" vertical="top" wrapText="1"/>
    </xf>
    <xf numFmtId="49" fontId="1" fillId="0" borderId="27" xfId="0" applyNumberFormat="1" applyFont="1" applyBorder="1" applyAlignment="1">
      <alignment horizontal="left" vertical="top" wrapText="1"/>
    </xf>
    <xf numFmtId="49" fontId="1" fillId="0" borderId="28" xfId="0" applyNumberFormat="1" applyFont="1" applyBorder="1" applyAlignment="1">
      <alignment horizontal="left" vertical="center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/>
    </xf>
    <xf numFmtId="4" fontId="1" fillId="0" borderId="29" xfId="0" applyNumberFormat="1" applyFont="1" applyBorder="1" applyAlignment="1">
      <alignment horizontal="right" vertical="top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1" fillId="0" borderId="32" xfId="0" applyNumberFormat="1" applyFont="1" applyFill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49" fontId="11" fillId="0" borderId="27" xfId="0" applyNumberFormat="1" applyFont="1" applyBorder="1" applyAlignment="1">
      <alignment horizontal="left" vertical="top" wrapText="1"/>
    </xf>
    <xf numFmtId="49" fontId="11" fillId="0" borderId="28" xfId="0" applyNumberFormat="1" applyFont="1" applyBorder="1" applyAlignment="1">
      <alignment horizontal="left" vertical="center" wrapText="1"/>
    </xf>
    <xf numFmtId="4" fontId="11" fillId="4" borderId="20" xfId="0" applyNumberFormat="1" applyFont="1" applyFill="1" applyBorder="1" applyAlignment="1">
      <alignment horizontal="right" vertical="top" wrapText="1"/>
    </xf>
    <xf numFmtId="4" fontId="11" fillId="0" borderId="19" xfId="0" applyNumberFormat="1" applyFont="1" applyBorder="1" applyAlignment="1">
      <alignment horizontal="right" vertical="top" wrapText="1"/>
    </xf>
    <xf numFmtId="4" fontId="11" fillId="0" borderId="24" xfId="0" applyNumberFormat="1" applyFont="1" applyBorder="1" applyAlignment="1">
      <alignment horizontal="right" vertical="top" wrapText="1"/>
    </xf>
    <xf numFmtId="4" fontId="11" fillId="0" borderId="32" xfId="0" applyNumberFormat="1" applyFont="1" applyBorder="1" applyAlignment="1">
      <alignment horizontal="right" vertical="top" wrapText="1"/>
    </xf>
    <xf numFmtId="4" fontId="11" fillId="0" borderId="30" xfId="0" applyNumberFormat="1" applyFont="1" applyBorder="1" applyAlignment="1">
      <alignment horizontal="right" vertical="top" wrapText="1"/>
    </xf>
    <xf numFmtId="4" fontId="11" fillId="0" borderId="35" xfId="0" applyNumberFormat="1" applyFont="1" applyBorder="1" applyAlignment="1">
      <alignment horizontal="right" vertical="top" wrapText="1"/>
    </xf>
    <xf numFmtId="4" fontId="11" fillId="0" borderId="31" xfId="0" applyNumberFormat="1" applyFont="1" applyBorder="1" applyAlignment="1">
      <alignment horizontal="right" vertical="top" wrapText="1"/>
    </xf>
    <xf numFmtId="4" fontId="11" fillId="0" borderId="2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right" vertical="top" wrapText="1"/>
    </xf>
    <xf numFmtId="4" fontId="2" fillId="0" borderId="36" xfId="0" applyNumberFormat="1" applyFont="1" applyBorder="1" applyAlignment="1">
      <alignment horizontal="right" vertical="top" wrapText="1"/>
    </xf>
    <xf numFmtId="4" fontId="2" fillId="4" borderId="36" xfId="0" applyNumberFormat="1" applyFont="1" applyFill="1" applyBorder="1" applyAlignment="1">
      <alignment horizontal="right" vertical="top" wrapText="1"/>
    </xf>
    <xf numFmtId="4" fontId="2" fillId="0" borderId="37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 wrapText="1"/>
    </xf>
    <xf numFmtId="4" fontId="2" fillId="0" borderId="38" xfId="0" applyNumberFormat="1" applyFont="1" applyBorder="1" applyAlignment="1">
      <alignment horizontal="right" vertical="top" wrapText="1"/>
    </xf>
    <xf numFmtId="4" fontId="2" fillId="0" borderId="39" xfId="0" applyNumberFormat="1" applyFont="1" applyBorder="1" applyAlignment="1">
      <alignment horizontal="right" vertical="top" wrapText="1"/>
    </xf>
    <xf numFmtId="4" fontId="2" fillId="0" borderId="40" xfId="0" applyNumberFormat="1" applyFont="1" applyBorder="1" applyAlignment="1">
      <alignment horizontal="right" vertical="top" wrapText="1"/>
    </xf>
    <xf numFmtId="0" fontId="2" fillId="0" borderId="0" xfId="0" applyFont="1"/>
    <xf numFmtId="4" fontId="1" fillId="0" borderId="23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25" xfId="0" applyNumberFormat="1" applyFont="1" applyBorder="1" applyAlignment="1">
      <alignment vertical="top" wrapText="1"/>
    </xf>
    <xf numFmtId="4" fontId="1" fillId="4" borderId="25" xfId="0" applyNumberFormat="1" applyFont="1" applyFill="1" applyBorder="1" applyAlignment="1">
      <alignment vertical="top" wrapText="1"/>
    </xf>
    <xf numFmtId="4" fontId="1" fillId="0" borderId="21" xfId="0" applyNumberFormat="1" applyFont="1" applyBorder="1" applyAlignment="1">
      <alignment vertical="top" wrapText="1"/>
    </xf>
    <xf numFmtId="4" fontId="1" fillId="0" borderId="26" xfId="0" applyNumberFormat="1" applyFont="1" applyBorder="1" applyAlignment="1">
      <alignment vertical="top" wrapText="1"/>
    </xf>
    <xf numFmtId="4" fontId="1" fillId="0" borderId="41" xfId="0" applyNumberFormat="1" applyFont="1" applyBorder="1" applyAlignment="1">
      <alignment vertical="top" wrapText="1"/>
    </xf>
    <xf numFmtId="4" fontId="1" fillId="0" borderId="42" xfId="0" applyNumberFormat="1" applyFont="1" applyBorder="1" applyAlignment="1">
      <alignment vertical="top" wrapText="1"/>
    </xf>
    <xf numFmtId="4" fontId="9" fillId="0" borderId="19" xfId="0" applyNumberFormat="1" applyFont="1" applyBorder="1" applyAlignment="1">
      <alignment horizontal="right" vertical="top" wrapText="1"/>
    </xf>
    <xf numFmtId="4" fontId="9" fillId="0" borderId="20" xfId="0" applyNumberFormat="1" applyFont="1" applyFill="1" applyBorder="1" applyAlignment="1">
      <alignment horizontal="right" vertical="top" wrapText="1"/>
    </xf>
    <xf numFmtId="4" fontId="1" fillId="0" borderId="33" xfId="0" applyNumberFormat="1" applyFont="1" applyFill="1" applyBorder="1" applyAlignment="1">
      <alignment horizontal="right" vertical="top" wrapText="1"/>
    </xf>
    <xf numFmtId="4" fontId="9" fillId="0" borderId="24" xfId="0" applyNumberFormat="1" applyFont="1" applyFill="1" applyBorder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4" fontId="1" fillId="0" borderId="43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0" fontId="2" fillId="0" borderId="6" xfId="0" applyFont="1" applyBorder="1" applyAlignment="1">
      <alignment horizontal="center" vertical="top"/>
    </xf>
    <xf numFmtId="4" fontId="2" fillId="0" borderId="6" xfId="0" applyNumberFormat="1" applyFont="1" applyBorder="1" applyAlignment="1">
      <alignment horizontal="right" vertical="top" wrapText="1"/>
    </xf>
    <xf numFmtId="4" fontId="2" fillId="0" borderId="44" xfId="0" applyNumberFormat="1" applyFont="1" applyBorder="1" applyAlignment="1">
      <alignment horizontal="right" vertical="top" wrapText="1"/>
    </xf>
    <xf numFmtId="4" fontId="1" fillId="0" borderId="45" xfId="0" applyNumberFormat="1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46" xfId="0" applyNumberFormat="1" applyFont="1" applyBorder="1" applyAlignment="1">
      <alignment horizontal="right" vertical="top" wrapText="1"/>
    </xf>
    <xf numFmtId="4" fontId="2" fillId="4" borderId="46" xfId="0" applyNumberFormat="1" applyFont="1" applyFill="1" applyBorder="1" applyAlignment="1">
      <alignment horizontal="right" vertical="top" wrapText="1"/>
    </xf>
    <xf numFmtId="4" fontId="2" fillId="0" borderId="19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33" xfId="0" applyNumberFormat="1" applyFont="1" applyBorder="1" applyAlignment="1">
      <alignment horizontal="right" vertical="top" wrapText="1"/>
    </xf>
    <xf numFmtId="4" fontId="1" fillId="0" borderId="19" xfId="0" applyNumberFormat="1" applyFont="1" applyBorder="1" applyAlignment="1">
      <alignment vertical="top" wrapText="1"/>
    </xf>
    <xf numFmtId="4" fontId="1" fillId="0" borderId="33" xfId="0" applyNumberFormat="1" applyFont="1" applyBorder="1" applyAlignment="1">
      <alignment vertical="top" wrapText="1"/>
    </xf>
    <xf numFmtId="4" fontId="1" fillId="0" borderId="20" xfId="0" applyNumberFormat="1" applyFont="1" applyBorder="1" applyAlignment="1">
      <alignment vertical="top" wrapText="1"/>
    </xf>
    <xf numFmtId="4" fontId="1" fillId="4" borderId="20" xfId="0" applyNumberFormat="1" applyFont="1" applyFill="1" applyBorder="1" applyAlignment="1">
      <alignment vertical="top" wrapText="1"/>
    </xf>
    <xf numFmtId="4" fontId="1" fillId="0" borderId="24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19" xfId="0" applyNumberFormat="1" applyFont="1" applyFill="1" applyBorder="1" applyAlignment="1">
      <alignment vertical="top" wrapText="1"/>
    </xf>
    <xf numFmtId="4" fontId="1" fillId="0" borderId="24" xfId="0" applyNumberFormat="1" applyFont="1" applyFill="1" applyBorder="1" applyAlignment="1">
      <alignment vertical="top" wrapText="1"/>
    </xf>
    <xf numFmtId="4" fontId="1" fillId="0" borderId="33" xfId="0" applyNumberFormat="1" applyFont="1" applyFill="1" applyBorder="1" applyAlignment="1">
      <alignment vertical="top" wrapText="1"/>
    </xf>
    <xf numFmtId="164" fontId="1" fillId="0" borderId="0" xfId="0" applyNumberFormat="1" applyFont="1"/>
    <xf numFmtId="4" fontId="9" fillId="4" borderId="20" xfId="0" applyNumberFormat="1" applyFont="1" applyFill="1" applyBorder="1" applyAlignment="1">
      <alignment vertical="top" wrapText="1"/>
    </xf>
    <xf numFmtId="4" fontId="1" fillId="6" borderId="33" xfId="0" applyNumberFormat="1" applyFont="1" applyFill="1" applyBorder="1" applyAlignment="1">
      <alignment vertical="top" wrapText="1"/>
    </xf>
    <xf numFmtId="4" fontId="9" fillId="0" borderId="19" xfId="0" applyNumberFormat="1" applyFont="1" applyFill="1" applyBorder="1" applyAlignment="1">
      <alignment horizontal="right" vertical="top" wrapText="1"/>
    </xf>
    <xf numFmtId="4" fontId="1" fillId="6" borderId="24" xfId="0" applyNumberFormat="1" applyFont="1" applyFill="1" applyBorder="1" applyAlignment="1">
      <alignment vertical="top" wrapText="1"/>
    </xf>
    <xf numFmtId="4" fontId="9" fillId="0" borderId="33" xfId="0" applyNumberFormat="1" applyFont="1" applyFill="1" applyBorder="1" applyAlignment="1">
      <alignment horizontal="right" vertical="top" wrapText="1"/>
    </xf>
    <xf numFmtId="4" fontId="9" fillId="0" borderId="10" xfId="0" applyNumberFormat="1" applyFont="1" applyFill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/>
    </xf>
    <xf numFmtId="0" fontId="2" fillId="0" borderId="5" xfId="0" applyFont="1" applyBorder="1" applyAlignment="1">
      <alignment vertical="top"/>
    </xf>
    <xf numFmtId="49" fontId="1" fillId="0" borderId="33" xfId="0" applyNumberFormat="1" applyFont="1" applyBorder="1" applyAlignment="1">
      <alignment vertical="top" wrapText="1"/>
    </xf>
    <xf numFmtId="49" fontId="1" fillId="0" borderId="33" xfId="0" applyNumberFormat="1" applyFont="1" applyBorder="1" applyAlignment="1">
      <alignment vertical="center" wrapText="1"/>
    </xf>
    <xf numFmtId="4" fontId="9" fillId="4" borderId="20" xfId="0" applyNumberFormat="1" applyFont="1" applyFill="1" applyBorder="1" applyAlignment="1">
      <alignment horizontal="right" vertical="top" wrapText="1"/>
    </xf>
    <xf numFmtId="4" fontId="1" fillId="6" borderId="20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right" vertical="top"/>
    </xf>
    <xf numFmtId="4" fontId="2" fillId="0" borderId="34" xfId="0" applyNumberFormat="1" applyFont="1" applyBorder="1" applyAlignment="1">
      <alignment horizontal="right" vertical="top" wrapText="1"/>
    </xf>
    <xf numFmtId="4" fontId="2" fillId="0" borderId="20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vertical="top" wrapText="1"/>
    </xf>
    <xf numFmtId="4" fontId="9" fillId="0" borderId="19" xfId="0" applyNumberFormat="1" applyFont="1" applyFill="1" applyBorder="1" applyAlignment="1">
      <alignment vertical="top" wrapText="1"/>
    </xf>
    <xf numFmtId="4" fontId="2" fillId="0" borderId="10" xfId="0" applyNumberFormat="1" applyFont="1" applyBorder="1" applyAlignment="1">
      <alignment horizontal="right" vertical="top"/>
    </xf>
    <xf numFmtId="165" fontId="1" fillId="0" borderId="0" xfId="0" applyNumberFormat="1" applyFont="1"/>
    <xf numFmtId="4" fontId="1" fillId="0" borderId="20" xfId="0" applyNumberFormat="1" applyFont="1" applyFill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right" vertical="top" wrapText="1"/>
    </xf>
    <xf numFmtId="0" fontId="13" fillId="0" borderId="33" xfId="0" applyFont="1" applyBorder="1" applyAlignment="1">
      <alignment vertical="top" wrapText="1"/>
    </xf>
    <xf numFmtId="4" fontId="2" fillId="4" borderId="20" xfId="0" applyNumberFormat="1" applyFont="1" applyFill="1" applyBorder="1" applyAlignment="1">
      <alignment horizontal="right" vertical="top" wrapText="1"/>
    </xf>
    <xf numFmtId="4" fontId="14" fillId="0" borderId="19" xfId="0" applyNumberFormat="1" applyFont="1" applyBorder="1" applyAlignment="1">
      <alignment horizontal="right" vertical="top" wrapText="1"/>
    </xf>
    <xf numFmtId="4" fontId="2" fillId="0" borderId="19" xfId="0" applyNumberFormat="1" applyFont="1" applyBorder="1" applyAlignment="1">
      <alignment vertical="top" wrapText="1"/>
    </xf>
    <xf numFmtId="4" fontId="2" fillId="0" borderId="33" xfId="0" applyNumberFormat="1" applyFont="1" applyBorder="1" applyAlignment="1">
      <alignment vertical="top" wrapText="1"/>
    </xf>
    <xf numFmtId="4" fontId="2" fillId="0" borderId="20" xfId="0" applyNumberFormat="1" applyFont="1" applyBorder="1" applyAlignment="1">
      <alignment vertical="top" wrapText="1"/>
    </xf>
    <xf numFmtId="166" fontId="2" fillId="0" borderId="19" xfId="0" applyNumberFormat="1" applyFont="1" applyBorder="1" applyAlignment="1">
      <alignment vertical="top" wrapText="1"/>
    </xf>
    <xf numFmtId="166" fontId="2" fillId="0" borderId="4" xfId="0" applyNumberFormat="1" applyFont="1" applyBorder="1" applyAlignment="1">
      <alignment vertical="top" wrapText="1"/>
    </xf>
    <xf numFmtId="167" fontId="2" fillId="0" borderId="46" xfId="0" applyNumberFormat="1" applyFont="1" applyBorder="1" applyAlignment="1">
      <alignment vertical="top" wrapText="1"/>
    </xf>
    <xf numFmtId="167" fontId="2" fillId="4" borderId="46" xfId="0" applyNumberFormat="1" applyFont="1" applyFill="1" applyBorder="1" applyAlignment="1">
      <alignment vertical="top" wrapText="1"/>
    </xf>
    <xf numFmtId="167" fontId="2" fillId="0" borderId="19" xfId="0" applyNumberFormat="1" applyFont="1" applyBorder="1" applyAlignment="1">
      <alignment vertical="top" wrapText="1"/>
    </xf>
    <xf numFmtId="167" fontId="2" fillId="0" borderId="24" xfId="0" applyNumberFormat="1" applyFont="1" applyBorder="1" applyAlignment="1">
      <alignment vertical="top" wrapText="1"/>
    </xf>
    <xf numFmtId="167" fontId="2" fillId="0" borderId="34" xfId="0" applyNumberFormat="1" applyFont="1" applyBorder="1" applyAlignment="1">
      <alignment vertical="top" wrapText="1"/>
    </xf>
    <xf numFmtId="167" fontId="2" fillId="0" borderId="20" xfId="0" applyNumberFormat="1" applyFont="1" applyBorder="1" applyAlignment="1">
      <alignment vertical="top" wrapText="1"/>
    </xf>
    <xf numFmtId="167" fontId="2" fillId="0" borderId="33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0" xfId="0" applyNumberFormat="1" applyFont="1"/>
    <xf numFmtId="49" fontId="1" fillId="0" borderId="4" xfId="0" applyNumberFormat="1" applyFont="1" applyBorder="1" applyAlignment="1">
      <alignment horizontal="left" vertical="top"/>
    </xf>
    <xf numFmtId="0" fontId="2" fillId="0" borderId="47" xfId="0" applyFont="1" applyBorder="1" applyAlignment="1">
      <alignment horizontal="center" vertical="top" wrapText="1"/>
    </xf>
    <xf numFmtId="49" fontId="2" fillId="0" borderId="47" xfId="0" applyNumberFormat="1" applyFont="1" applyBorder="1" applyAlignment="1">
      <alignment horizontal="left" vertical="top"/>
    </xf>
    <xf numFmtId="49" fontId="2" fillId="0" borderId="48" xfId="0" applyNumberFormat="1" applyFont="1" applyBorder="1" applyAlignment="1">
      <alignment horizontal="left" vertical="center" wrapText="1"/>
    </xf>
    <xf numFmtId="4" fontId="2" fillId="0" borderId="43" xfId="0" applyNumberFormat="1" applyFont="1" applyBorder="1" applyAlignment="1">
      <alignment horizontal="right" vertical="top" wrapText="1"/>
    </xf>
    <xf numFmtId="4" fontId="2" fillId="0" borderId="47" xfId="0" applyNumberFormat="1" applyFont="1" applyBorder="1" applyAlignment="1">
      <alignment horizontal="right" vertical="top" wrapText="1"/>
    </xf>
    <xf numFmtId="4" fontId="2" fillId="0" borderId="48" xfId="0" applyNumberFormat="1" applyFont="1" applyBorder="1" applyAlignment="1">
      <alignment horizontal="right" vertical="top" wrapText="1"/>
    </xf>
    <xf numFmtId="4" fontId="2" fillId="0" borderId="49" xfId="0" applyNumberFormat="1" applyFont="1" applyBorder="1" applyAlignment="1">
      <alignment horizontal="right" vertical="top" wrapText="1"/>
    </xf>
    <xf numFmtId="4" fontId="2" fillId="0" borderId="50" xfId="0" applyNumberFormat="1" applyFont="1" applyBorder="1" applyAlignment="1">
      <alignment vertical="top" wrapText="1"/>
    </xf>
    <xf numFmtId="4" fontId="2" fillId="0" borderId="49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top" wrapText="1"/>
    </xf>
    <xf numFmtId="168" fontId="2" fillId="0" borderId="0" xfId="0" applyNumberFormat="1" applyFont="1"/>
    <xf numFmtId="4" fontId="2" fillId="0" borderId="0" xfId="0" applyNumberFormat="1" applyFont="1"/>
    <xf numFmtId="4" fontId="14" fillId="0" borderId="0" xfId="0" applyNumberFormat="1" applyFont="1"/>
    <xf numFmtId="167" fontId="1" fillId="0" borderId="0" xfId="0" applyNumberFormat="1" applyFont="1"/>
    <xf numFmtId="0" fontId="1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/>
    </xf>
    <xf numFmtId="3" fontId="13" fillId="7" borderId="0" xfId="0" applyNumberFormat="1" applyFont="1" applyFill="1" applyBorder="1"/>
    <xf numFmtId="168" fontId="1" fillId="0" borderId="0" xfId="0" applyNumberFormat="1" applyFont="1" applyBorder="1"/>
    <xf numFmtId="41" fontId="1" fillId="0" borderId="0" xfId="0" applyNumberFormat="1" applyFont="1" applyBorder="1"/>
    <xf numFmtId="4" fontId="1" fillId="0" borderId="0" xfId="0" applyNumberFormat="1" applyFont="1" applyBorder="1"/>
    <xf numFmtId="168" fontId="2" fillId="0" borderId="0" xfId="0" applyNumberFormat="1" applyFont="1" applyBorder="1"/>
    <xf numFmtId="4" fontId="2" fillId="0" borderId="0" xfId="0" applyNumberFormat="1" applyFont="1" applyBorder="1"/>
    <xf numFmtId="3" fontId="1" fillId="0" borderId="0" xfId="0" applyNumberFormat="1" applyFont="1" applyBorder="1" applyAlignment="1">
      <alignment horizontal="right" vertical="top"/>
    </xf>
    <xf numFmtId="169" fontId="1" fillId="0" borderId="0" xfId="0" applyNumberFormat="1" applyFont="1" applyBorder="1"/>
    <xf numFmtId="4" fontId="1" fillId="0" borderId="0" xfId="0" applyNumberFormat="1" applyFont="1" applyBorder="1" applyAlignment="1">
      <alignment horizontal="right" vertical="top"/>
    </xf>
    <xf numFmtId="167" fontId="13" fillId="7" borderId="0" xfId="0" applyNumberFormat="1" applyFont="1" applyFill="1" applyBorder="1"/>
    <xf numFmtId="4" fontId="14" fillId="0" borderId="0" xfId="0" applyNumberFormat="1" applyFont="1" applyBorder="1"/>
    <xf numFmtId="168" fontId="9" fillId="0" borderId="0" xfId="0" applyNumberFormat="1" applyFont="1" applyBorder="1"/>
    <xf numFmtId="0" fontId="9" fillId="0" borderId="0" xfId="0" applyFont="1" applyBorder="1"/>
    <xf numFmtId="4" fontId="1" fillId="6" borderId="10" xfId="0" applyNumberFormat="1" applyFont="1" applyFill="1" applyBorder="1" applyAlignment="1">
      <alignment horizontal="right" vertical="top" wrapText="1"/>
    </xf>
    <xf numFmtId="0" fontId="16" fillId="0" borderId="0" xfId="1" applyFont="1" applyAlignment="1"/>
    <xf numFmtId="0" fontId="17" fillId="0" borderId="0" xfId="1" applyFont="1"/>
    <xf numFmtId="0" fontId="15" fillId="0" borderId="0" xfId="1"/>
    <xf numFmtId="0" fontId="15" fillId="0" borderId="0" xfId="1" applyAlignment="1">
      <alignment horizontal="right" vertical="center" wrapText="1"/>
    </xf>
    <xf numFmtId="0" fontId="15" fillId="0" borderId="0" xfId="1" applyAlignment="1">
      <alignment horizontal="right" vertical="center"/>
    </xf>
    <xf numFmtId="0" fontId="18" fillId="0" borderId="4" xfId="1" applyFont="1" applyBorder="1" applyAlignment="1">
      <alignment horizontal="center" vertical="center" wrapText="1"/>
    </xf>
    <xf numFmtId="0" fontId="21" fillId="0" borderId="0" xfId="1" applyFont="1"/>
    <xf numFmtId="0" fontId="15" fillId="0" borderId="0" xfId="1" applyFont="1" applyAlignment="1">
      <alignment horizontal="right" vertical="center"/>
    </xf>
    <xf numFmtId="0" fontId="15" fillId="0" borderId="0" xfId="1" applyAlignment="1">
      <alignment horizontal="left" vertical="center" wrapText="1"/>
    </xf>
    <xf numFmtId="0" fontId="22" fillId="0" borderId="4" xfId="1" applyFont="1" applyBorder="1" applyAlignment="1">
      <alignment horizontal="center" vertical="center" wrapText="1"/>
    </xf>
    <xf numFmtId="0" fontId="15" fillId="0" borderId="0" xfId="1" applyFont="1"/>
    <xf numFmtId="170" fontId="18" fillId="0" borderId="4" xfId="1" applyNumberFormat="1" applyFont="1" applyBorder="1" applyAlignment="1">
      <alignment horizontal="center" vertical="center" wrapText="1"/>
    </xf>
    <xf numFmtId="0" fontId="22" fillId="0" borderId="4" xfId="1" applyFont="1" applyBorder="1" applyAlignment="1">
      <alignment horizontal="left" vertical="center" wrapText="1"/>
    </xf>
    <xf numFmtId="170" fontId="22" fillId="0" borderId="4" xfId="1" applyNumberFormat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/>
    </xf>
    <xf numFmtId="172" fontId="1" fillId="0" borderId="0" xfId="0" applyNumberFormat="1" applyFont="1" applyBorder="1"/>
    <xf numFmtId="4" fontId="9" fillId="0" borderId="0" xfId="0" applyNumberFormat="1" applyFont="1" applyAlignment="1">
      <alignment vertical="center"/>
    </xf>
    <xf numFmtId="4" fontId="9" fillId="0" borderId="10" xfId="0" applyNumberFormat="1" applyFont="1" applyBorder="1" applyAlignment="1">
      <alignment horizontal="right" vertical="top" wrapText="1"/>
    </xf>
    <xf numFmtId="166" fontId="1" fillId="0" borderId="0" xfId="0" applyNumberFormat="1" applyFont="1" applyBorder="1" applyAlignment="1">
      <alignment horizontal="right" vertical="top" wrapText="1"/>
    </xf>
    <xf numFmtId="0" fontId="23" fillId="0" borderId="0" xfId="1" applyFont="1"/>
    <xf numFmtId="171" fontId="24" fillId="0" borderId="0" xfId="1" applyNumberFormat="1" applyFont="1"/>
    <xf numFmtId="173" fontId="15" fillId="0" borderId="0" xfId="1" applyNumberFormat="1"/>
    <xf numFmtId="174" fontId="15" fillId="0" borderId="0" xfId="1" applyNumberFormat="1"/>
    <xf numFmtId="175" fontId="15" fillId="0" borderId="0" xfId="1" applyNumberFormat="1"/>
    <xf numFmtId="14" fontId="15" fillId="0" borderId="0" xfId="1" applyNumberFormat="1" applyAlignment="1">
      <alignment horizontal="left" vertical="top"/>
    </xf>
    <xf numFmtId="0" fontId="15" fillId="0" borderId="0" xfId="1" applyAlignment="1">
      <alignment vertical="top" wrapText="1"/>
    </xf>
    <xf numFmtId="43" fontId="1" fillId="0" borderId="0" xfId="0" applyNumberFormat="1" applyFont="1" applyBorder="1"/>
    <xf numFmtId="171" fontId="1" fillId="0" borderId="0" xfId="0" applyNumberFormat="1" applyFont="1" applyBorder="1"/>
    <xf numFmtId="4" fontId="9" fillId="0" borderId="0" xfId="0" applyNumberFormat="1" applyFont="1" applyBorder="1" applyAlignment="1">
      <alignment horizontal="right" vertical="top" wrapText="1"/>
    </xf>
    <xf numFmtId="4" fontId="9" fillId="0" borderId="24" xfId="0" applyNumberFormat="1" applyFont="1" applyBorder="1" applyAlignment="1">
      <alignment horizontal="right" vertical="top" wrapText="1"/>
    </xf>
    <xf numFmtId="166" fontId="1" fillId="0" borderId="0" xfId="0" applyNumberFormat="1" applyFont="1" applyBorder="1"/>
    <xf numFmtId="0" fontId="25" fillId="0" borderId="0" xfId="1" applyFont="1" applyAlignment="1">
      <alignment horizontal="right" vertical="center" wrapText="1"/>
    </xf>
    <xf numFmtId="176" fontId="15" fillId="0" borderId="0" xfId="1" applyNumberFormat="1"/>
    <xf numFmtId="171" fontId="21" fillId="0" borderId="4" xfId="1" applyNumberFormat="1" applyFont="1" applyBorder="1" applyAlignment="1" applyProtection="1">
      <alignment horizontal="center" vertical="center" wrapText="1"/>
      <protection hidden="1"/>
    </xf>
    <xf numFmtId="0" fontId="18" fillId="0" borderId="4" xfId="1" applyFont="1" applyBorder="1" applyAlignment="1">
      <alignment horizontal="left" vertical="center" wrapText="1"/>
    </xf>
    <xf numFmtId="177" fontId="21" fillId="0" borderId="4" xfId="1" applyNumberFormat="1" applyFont="1" applyBorder="1" applyAlignment="1">
      <alignment horizontal="center" vertical="center"/>
    </xf>
    <xf numFmtId="170" fontId="21" fillId="0" borderId="4" xfId="1" applyNumberFormat="1" applyFont="1" applyBorder="1" applyAlignment="1">
      <alignment horizontal="center" vertical="center"/>
    </xf>
    <xf numFmtId="178" fontId="15" fillId="0" borderId="0" xfId="1" applyNumberFormat="1"/>
    <xf numFmtId="178" fontId="26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right" vertical="top" wrapText="1"/>
    </xf>
    <xf numFmtId="0" fontId="12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2" fillId="0" borderId="44" xfId="0" applyFont="1" applyBorder="1" applyAlignment="1">
      <alignment vertical="top" wrapText="1"/>
    </xf>
    <xf numFmtId="0" fontId="2" fillId="0" borderId="26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right" vertical="top" wrapText="1"/>
    </xf>
    <xf numFmtId="0" fontId="12" fillId="0" borderId="5" xfId="0" applyFont="1" applyBorder="1" applyAlignment="1">
      <alignment vertical="top" wrapText="1"/>
    </xf>
    <xf numFmtId="4" fontId="2" fillId="0" borderId="50" xfId="0" applyNumberFormat="1" applyFont="1" applyBorder="1" applyAlignment="1">
      <alignment horizontal="center" vertical="top" wrapText="1"/>
    </xf>
    <xf numFmtId="4" fontId="2" fillId="0" borderId="51" xfId="0" applyNumberFormat="1" applyFont="1" applyBorder="1" applyAlignment="1">
      <alignment horizontal="center" vertical="top" wrapText="1"/>
    </xf>
    <xf numFmtId="0" fontId="19" fillId="0" borderId="27" xfId="1" applyFont="1" applyBorder="1" applyAlignment="1">
      <alignment horizontal="center" vertical="center" wrapText="1"/>
    </xf>
    <xf numFmtId="0" fontId="19" fillId="0" borderId="52" xfId="1" applyFont="1" applyBorder="1" applyAlignment="1">
      <alignment horizontal="center" vertical="center" wrapText="1"/>
    </xf>
    <xf numFmtId="0" fontId="18" fillId="0" borderId="27" xfId="1" applyFont="1" applyBorder="1" applyAlignment="1">
      <alignment horizontal="center" vertical="center" wrapText="1"/>
    </xf>
    <xf numFmtId="0" fontId="18" fillId="0" borderId="52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5" fillId="0" borderId="0" xfId="1" applyAlignment="1">
      <alignment horizontal="left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tabSelected="1" view="pageBreakPreview" topLeftCell="A12" zoomScale="80" zoomScaleNormal="70" zoomScaleSheetLayoutView="80" workbookViewId="0">
      <pane xSplit="3" ySplit="21" topLeftCell="D60" activePane="bottomRight" state="frozen"/>
      <selection activeCell="A12" sqref="A12"/>
      <selection pane="topRight" activeCell="D12" sqref="D12"/>
      <selection pane="bottomLeft" activeCell="A33" sqref="A33"/>
      <selection pane="bottomRight" activeCell="A15" sqref="A15:M15"/>
    </sheetView>
  </sheetViews>
  <sheetFormatPr defaultRowHeight="12.75" x14ac:dyDescent="0.2"/>
  <cols>
    <col min="1" max="1" width="5" style="1" customWidth="1"/>
    <col min="2" max="2" width="23.7109375" style="2" customWidth="1"/>
    <col min="3" max="3" width="50.140625" style="3" customWidth="1"/>
    <col min="4" max="4" width="11.85546875" style="2" customWidth="1"/>
    <col min="5" max="5" width="10.7109375" style="2" customWidth="1"/>
    <col min="6" max="6" width="9.7109375" style="2" customWidth="1"/>
    <col min="7" max="7" width="10.85546875" style="2" customWidth="1"/>
    <col min="8" max="8" width="12.42578125" style="2" customWidth="1"/>
    <col min="9" max="9" width="12.28515625" style="11" customWidth="1"/>
    <col min="10" max="10" width="9.42578125" style="11" customWidth="1"/>
    <col min="11" max="11" width="8.85546875" style="11" customWidth="1"/>
    <col min="12" max="12" width="11.42578125" style="11" customWidth="1"/>
    <col min="13" max="13" width="13.140625" style="11" customWidth="1"/>
    <col min="14" max="14" width="16" style="6" customWidth="1"/>
    <col min="15" max="15" width="11.140625" style="6" customWidth="1"/>
    <col min="16" max="16" width="8.140625" style="6" customWidth="1"/>
    <col min="17" max="17" width="13.140625" style="6" customWidth="1"/>
    <col min="18" max="18" width="14.7109375" style="6" customWidth="1"/>
    <col min="19" max="19" width="12.85546875" style="6" hidden="1" customWidth="1"/>
    <col min="20" max="20" width="13.5703125" style="6" hidden="1" customWidth="1"/>
    <col min="21" max="21" width="14" style="6" hidden="1" customWidth="1"/>
    <col min="22" max="22" width="12.7109375" style="6" hidden="1" customWidth="1"/>
    <col min="23" max="23" width="13" style="6" hidden="1" customWidth="1"/>
    <col min="24" max="24" width="12.5703125" style="6" hidden="1" customWidth="1"/>
    <col min="25" max="25" width="13.140625" style="6" hidden="1" customWidth="1"/>
    <col min="26" max="26" width="12" style="6" hidden="1" customWidth="1"/>
    <col min="27" max="28" width="11.85546875" style="6" hidden="1" customWidth="1"/>
    <col min="29" max="29" width="15.28515625" style="6" customWidth="1"/>
    <col min="30" max="30" width="11.7109375" style="6" customWidth="1"/>
    <col min="31" max="31" width="10.28515625" style="6" customWidth="1"/>
    <col min="32" max="32" width="11.42578125" style="6" customWidth="1"/>
    <col min="33" max="33" width="10.5703125" style="6" customWidth="1"/>
    <col min="34" max="34" width="11.42578125" style="6" bestFit="1" customWidth="1"/>
    <col min="35" max="16384" width="9.140625" style="6"/>
  </cols>
  <sheetData>
    <row r="1" spans="1:13" hidden="1" x14ac:dyDescent="0.2">
      <c r="I1" s="4"/>
      <c r="J1" s="4"/>
      <c r="K1" s="4"/>
      <c r="L1" s="4"/>
      <c r="M1" s="5" t="s">
        <v>0</v>
      </c>
    </row>
    <row r="2" spans="1:13" ht="15.75" hidden="1" x14ac:dyDescent="0.2">
      <c r="B2" s="2" t="s">
        <v>1</v>
      </c>
      <c r="C2" s="259" t="s">
        <v>2</v>
      </c>
      <c r="D2" s="259"/>
      <c r="E2" s="259"/>
      <c r="F2" s="259"/>
      <c r="G2" s="259"/>
      <c r="H2" s="259"/>
      <c r="I2" s="259"/>
      <c r="J2" s="259"/>
      <c r="K2" s="259"/>
      <c r="L2" s="259"/>
      <c r="M2" s="4"/>
    </row>
    <row r="3" spans="1:13" ht="15" hidden="1" customHeight="1" x14ac:dyDescent="0.2">
      <c r="C3" s="260" t="s">
        <v>3</v>
      </c>
      <c r="D3" s="260"/>
      <c r="E3" s="260"/>
      <c r="F3" s="260"/>
      <c r="G3" s="260"/>
      <c r="H3" s="260"/>
      <c r="I3" s="260"/>
      <c r="J3" s="260"/>
      <c r="K3" s="260"/>
      <c r="L3" s="260"/>
      <c r="M3" s="4"/>
    </row>
    <row r="4" spans="1:13" hidden="1" x14ac:dyDescent="0.2">
      <c r="B4" s="2" t="s">
        <v>4</v>
      </c>
      <c r="C4" s="7"/>
      <c r="D4" s="8"/>
      <c r="E4" s="8"/>
      <c r="F4" s="8"/>
      <c r="G4" s="8"/>
      <c r="H4" s="8"/>
      <c r="I4" s="4"/>
      <c r="J4" s="9"/>
      <c r="K4" s="4"/>
      <c r="L4" s="4"/>
      <c r="M4" s="4"/>
    </row>
    <row r="5" spans="1:13" hidden="1" x14ac:dyDescent="0.2">
      <c r="I5" s="4"/>
      <c r="J5" s="9"/>
      <c r="K5" s="4"/>
      <c r="L5" s="4"/>
      <c r="M5" s="4"/>
    </row>
    <row r="6" spans="1:13" hidden="1" x14ac:dyDescent="0.2">
      <c r="B6" s="2" t="s">
        <v>5</v>
      </c>
      <c r="D6" s="10">
        <f>M91</f>
        <v>2302889.4899676275</v>
      </c>
      <c r="E6" s="2" t="s">
        <v>6</v>
      </c>
      <c r="I6" s="4"/>
      <c r="J6" s="9"/>
      <c r="K6" s="4"/>
      <c r="L6" s="4"/>
      <c r="M6" s="4"/>
    </row>
    <row r="7" spans="1:13" hidden="1" x14ac:dyDescent="0.2">
      <c r="B7" s="2" t="s">
        <v>7</v>
      </c>
      <c r="I7" s="4"/>
      <c r="J7" s="4"/>
      <c r="K7" s="4"/>
      <c r="L7" s="4"/>
      <c r="M7" s="4"/>
    </row>
    <row r="8" spans="1:13" ht="13.5" hidden="1" x14ac:dyDescent="0.2">
      <c r="C8" s="261" t="s">
        <v>8</v>
      </c>
      <c r="D8" s="261"/>
      <c r="E8" s="261"/>
      <c r="F8" s="261"/>
      <c r="G8" s="261"/>
      <c r="H8" s="261"/>
      <c r="I8" s="261"/>
      <c r="J8" s="261"/>
      <c r="K8" s="261"/>
      <c r="L8" s="261"/>
      <c r="M8" s="4"/>
    </row>
    <row r="9" spans="1:13" ht="15" hidden="1" customHeight="1" x14ac:dyDescent="0.2">
      <c r="C9" s="260" t="s">
        <v>9</v>
      </c>
      <c r="D9" s="260"/>
      <c r="E9" s="260"/>
      <c r="F9" s="260"/>
      <c r="G9" s="260"/>
      <c r="H9" s="260"/>
      <c r="I9" s="260"/>
      <c r="J9" s="260"/>
      <c r="K9" s="260"/>
      <c r="L9" s="260"/>
      <c r="M9" s="4"/>
    </row>
    <row r="10" spans="1:13" hidden="1" x14ac:dyDescent="0.2">
      <c r="I10" s="4"/>
      <c r="J10" s="9"/>
      <c r="K10" s="4"/>
      <c r="L10" s="4"/>
      <c r="M10" s="4"/>
    </row>
    <row r="11" spans="1:13" hidden="1" x14ac:dyDescent="0.2">
      <c r="B11" s="2" t="s">
        <v>10</v>
      </c>
      <c r="M11" s="4"/>
    </row>
    <row r="12" spans="1:13" x14ac:dyDescent="0.2">
      <c r="L12" s="4"/>
      <c r="M12" s="4"/>
    </row>
    <row r="13" spans="1:13" ht="15" customHeight="1" x14ac:dyDescent="0.2">
      <c r="A13" s="262" t="s">
        <v>145</v>
      </c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</row>
    <row r="14" spans="1:13" x14ac:dyDescent="0.2">
      <c r="I14" s="12"/>
      <c r="K14" s="4"/>
      <c r="L14" s="4"/>
      <c r="M14" s="4"/>
    </row>
    <row r="15" spans="1:13" ht="29.25" customHeight="1" x14ac:dyDescent="0.2">
      <c r="A15" s="258" t="s">
        <v>146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</row>
    <row r="16" spans="1:13" ht="15" customHeight="1" x14ac:dyDescent="0.2">
      <c r="A16" s="263" t="s">
        <v>11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</row>
    <row r="17" spans="1:29" x14ac:dyDescent="0.2">
      <c r="M17" s="4"/>
    </row>
    <row r="18" spans="1:29" x14ac:dyDescent="0.2">
      <c r="B18" s="2" t="s">
        <v>127</v>
      </c>
      <c r="C18" s="3" t="s">
        <v>142</v>
      </c>
      <c r="M18" s="4"/>
    </row>
    <row r="19" spans="1:29" hidden="1" x14ac:dyDescent="0.2">
      <c r="I19" s="13" t="s">
        <v>12</v>
      </c>
      <c r="J19" s="13"/>
      <c r="K19" s="13"/>
      <c r="L19" s="14"/>
      <c r="M19" s="15"/>
    </row>
    <row r="20" spans="1:29" ht="25.5" hidden="1" x14ac:dyDescent="0.2">
      <c r="I20" s="16"/>
      <c r="J20" s="17"/>
      <c r="K20" s="16"/>
      <c r="L20" s="18" t="s">
        <v>13</v>
      </c>
      <c r="M20" s="19"/>
    </row>
    <row r="21" spans="1:29" hidden="1" x14ac:dyDescent="0.2">
      <c r="I21" s="20" t="s">
        <v>14</v>
      </c>
      <c r="J21" s="21"/>
      <c r="K21" s="21"/>
      <c r="L21" s="22">
        <v>5.12</v>
      </c>
      <c r="M21" s="19" t="s">
        <v>15</v>
      </c>
    </row>
    <row r="22" spans="1:29" hidden="1" x14ac:dyDescent="0.2">
      <c r="I22" s="20" t="s">
        <v>16</v>
      </c>
      <c r="J22" s="21"/>
      <c r="K22" s="21"/>
      <c r="L22" s="22">
        <v>4.43</v>
      </c>
      <c r="M22" s="19"/>
    </row>
    <row r="23" spans="1:29" hidden="1" x14ac:dyDescent="0.2">
      <c r="I23" s="20" t="s">
        <v>17</v>
      </c>
      <c r="J23" s="21"/>
      <c r="K23" s="21"/>
      <c r="L23" s="22">
        <v>15.36</v>
      </c>
      <c r="M23" s="19" t="s">
        <v>15</v>
      </c>
    </row>
    <row r="24" spans="1:29" hidden="1" x14ac:dyDescent="0.2">
      <c r="I24" s="20" t="s">
        <v>18</v>
      </c>
      <c r="J24" s="21"/>
      <c r="K24" s="21"/>
      <c r="L24" s="22">
        <v>3.91</v>
      </c>
      <c r="M24" s="19"/>
    </row>
    <row r="25" spans="1:29" hidden="1" x14ac:dyDescent="0.2">
      <c r="I25" s="20" t="s">
        <v>19</v>
      </c>
      <c r="J25" s="21"/>
      <c r="K25" s="21"/>
      <c r="L25" s="22">
        <v>3.92</v>
      </c>
      <c r="M25" s="19"/>
    </row>
    <row r="26" spans="1:29" hidden="1" x14ac:dyDescent="0.2">
      <c r="I26" s="20" t="s">
        <v>20</v>
      </c>
      <c r="J26" s="21"/>
      <c r="K26" s="21"/>
      <c r="L26" s="22">
        <v>3.93</v>
      </c>
      <c r="M26" s="19"/>
    </row>
    <row r="27" spans="1:29" hidden="1" x14ac:dyDescent="0.2">
      <c r="I27" s="20" t="s">
        <v>21</v>
      </c>
      <c r="J27" s="21"/>
      <c r="K27" s="21"/>
      <c r="L27" s="22">
        <v>8.7200000000000006</v>
      </c>
      <c r="M27" s="19"/>
    </row>
    <row r="28" spans="1:29" ht="13.5" thickBot="1" x14ac:dyDescent="0.25">
      <c r="M28" s="4"/>
      <c r="S28" s="235">
        <v>25626.390520515823</v>
      </c>
      <c r="T28" s="24"/>
      <c r="U28" s="24"/>
    </row>
    <row r="29" spans="1:29" ht="42.75" customHeight="1" thickBot="1" x14ac:dyDescent="0.25">
      <c r="A29" s="264" t="s">
        <v>22</v>
      </c>
      <c r="B29" s="265" t="s">
        <v>23</v>
      </c>
      <c r="C29" s="266" t="s">
        <v>24</v>
      </c>
      <c r="D29" s="267" t="s">
        <v>25</v>
      </c>
      <c r="E29" s="268"/>
      <c r="F29" s="268"/>
      <c r="G29" s="268"/>
      <c r="H29" s="269"/>
      <c r="I29" s="270" t="s">
        <v>26</v>
      </c>
      <c r="J29" s="271"/>
      <c r="K29" s="271"/>
      <c r="L29" s="271"/>
      <c r="M29" s="272"/>
      <c r="N29" s="270" t="s">
        <v>27</v>
      </c>
      <c r="O29" s="271"/>
      <c r="P29" s="271"/>
      <c r="Q29" s="271"/>
      <c r="R29" s="272"/>
      <c r="W29" s="25"/>
      <c r="X29" s="25"/>
      <c r="Y29" s="26">
        <v>0.7</v>
      </c>
      <c r="Z29" s="25"/>
      <c r="AA29" s="26">
        <f>100%-Y29</f>
        <v>0.30000000000000004</v>
      </c>
      <c r="AB29" s="25"/>
      <c r="AC29" s="27"/>
    </row>
    <row r="30" spans="1:29" ht="12.75" customHeight="1" x14ac:dyDescent="0.2">
      <c r="A30" s="264"/>
      <c r="B30" s="265"/>
      <c r="C30" s="266"/>
      <c r="D30" s="279" t="s">
        <v>28</v>
      </c>
      <c r="E30" s="264" t="s">
        <v>29</v>
      </c>
      <c r="F30" s="264" t="s">
        <v>30</v>
      </c>
      <c r="G30" s="264" t="s">
        <v>31</v>
      </c>
      <c r="H30" s="273" t="s">
        <v>32</v>
      </c>
      <c r="I30" s="279" t="s">
        <v>28</v>
      </c>
      <c r="J30" s="264" t="s">
        <v>29</v>
      </c>
      <c r="K30" s="264" t="s">
        <v>30</v>
      </c>
      <c r="L30" s="264" t="s">
        <v>31</v>
      </c>
      <c r="M30" s="273" t="s">
        <v>32</v>
      </c>
      <c r="N30" s="279" t="s">
        <v>28</v>
      </c>
      <c r="O30" s="264" t="s">
        <v>29</v>
      </c>
      <c r="P30" s="264" t="s">
        <v>30</v>
      </c>
      <c r="Q30" s="264" t="s">
        <v>31</v>
      </c>
      <c r="R30" s="273" t="s">
        <v>32</v>
      </c>
      <c r="S30" s="276" t="s">
        <v>33</v>
      </c>
      <c r="T30" s="280" t="s">
        <v>34</v>
      </c>
      <c r="U30" s="283" t="s">
        <v>35</v>
      </c>
      <c r="V30" s="286" t="s">
        <v>36</v>
      </c>
      <c r="W30" s="289" t="s">
        <v>37</v>
      </c>
      <c r="X30" s="290"/>
      <c r="Y30" s="290"/>
      <c r="Z30" s="290"/>
      <c r="AA30" s="290"/>
      <c r="AB30" s="290"/>
      <c r="AC30" s="28"/>
    </row>
    <row r="31" spans="1:29" ht="23.25" customHeight="1" x14ac:dyDescent="0.2">
      <c r="A31" s="264"/>
      <c r="B31" s="265"/>
      <c r="C31" s="266"/>
      <c r="D31" s="279"/>
      <c r="E31" s="264"/>
      <c r="F31" s="264"/>
      <c r="G31" s="264"/>
      <c r="H31" s="274"/>
      <c r="I31" s="279"/>
      <c r="J31" s="264"/>
      <c r="K31" s="264"/>
      <c r="L31" s="264"/>
      <c r="M31" s="274"/>
      <c r="N31" s="279"/>
      <c r="O31" s="264"/>
      <c r="P31" s="264"/>
      <c r="Q31" s="264"/>
      <c r="R31" s="274"/>
      <c r="S31" s="277"/>
      <c r="T31" s="281"/>
      <c r="U31" s="284"/>
      <c r="V31" s="287"/>
      <c r="W31" s="291">
        <v>2019</v>
      </c>
      <c r="X31" s="292"/>
      <c r="Y31" s="291">
        <v>2020</v>
      </c>
      <c r="Z31" s="292"/>
      <c r="AA31" s="291">
        <v>2021</v>
      </c>
      <c r="AB31" s="292"/>
      <c r="AC31" s="29"/>
    </row>
    <row r="32" spans="1:29" x14ac:dyDescent="0.2">
      <c r="A32" s="264"/>
      <c r="B32" s="265"/>
      <c r="C32" s="266"/>
      <c r="D32" s="279"/>
      <c r="E32" s="264"/>
      <c r="F32" s="264"/>
      <c r="G32" s="264"/>
      <c r="H32" s="275"/>
      <c r="I32" s="279"/>
      <c r="J32" s="264"/>
      <c r="K32" s="264"/>
      <c r="L32" s="264"/>
      <c r="M32" s="275"/>
      <c r="N32" s="279"/>
      <c r="O32" s="264"/>
      <c r="P32" s="264"/>
      <c r="Q32" s="264"/>
      <c r="R32" s="275"/>
      <c r="S32" s="278"/>
      <c r="T32" s="282"/>
      <c r="U32" s="285"/>
      <c r="V32" s="288"/>
      <c r="W32" s="30" t="s">
        <v>38</v>
      </c>
      <c r="X32" s="31" t="s">
        <v>39</v>
      </c>
      <c r="Y32" s="32" t="s">
        <v>38</v>
      </c>
      <c r="Z32" s="33" t="s">
        <v>39</v>
      </c>
      <c r="AA32" s="34" t="s">
        <v>38</v>
      </c>
      <c r="AB32" s="31" t="s">
        <v>39</v>
      </c>
      <c r="AC32" s="29"/>
    </row>
    <row r="33" spans="1:32" ht="13.5" customHeight="1" x14ac:dyDescent="0.2">
      <c r="A33" s="35">
        <v>1</v>
      </c>
      <c r="B33" s="36">
        <v>2</v>
      </c>
      <c r="C33" s="37">
        <v>3</v>
      </c>
      <c r="D33" s="38">
        <v>4</v>
      </c>
      <c r="E33" s="35">
        <v>5</v>
      </c>
      <c r="F33" s="35">
        <v>6</v>
      </c>
      <c r="G33" s="35">
        <v>7</v>
      </c>
      <c r="H33" s="39">
        <v>8</v>
      </c>
      <c r="I33" s="38">
        <v>4</v>
      </c>
      <c r="J33" s="35">
        <v>5</v>
      </c>
      <c r="K33" s="35">
        <v>6</v>
      </c>
      <c r="L33" s="35">
        <v>7</v>
      </c>
      <c r="M33" s="39">
        <v>8</v>
      </c>
      <c r="N33" s="38">
        <v>4</v>
      </c>
      <c r="O33" s="35">
        <v>5</v>
      </c>
      <c r="P33" s="35">
        <v>6</v>
      </c>
      <c r="Q33" s="35">
        <v>7</v>
      </c>
      <c r="R33" s="39">
        <v>8</v>
      </c>
      <c r="S33" s="40"/>
      <c r="T33" s="41"/>
      <c r="U33" s="42"/>
      <c r="V33" s="39"/>
      <c r="W33" s="42"/>
      <c r="X33" s="39"/>
      <c r="Y33" s="35"/>
      <c r="Z33" s="40"/>
      <c r="AA33" s="43"/>
      <c r="AB33" s="39"/>
      <c r="AC33" s="44"/>
    </row>
    <row r="34" spans="1:32" ht="14.25" customHeight="1" x14ac:dyDescent="0.2">
      <c r="A34" s="293" t="s">
        <v>40</v>
      </c>
      <c r="B34" s="294"/>
      <c r="C34" s="294"/>
      <c r="D34" s="45"/>
      <c r="E34" s="46"/>
      <c r="F34" s="46"/>
      <c r="G34" s="46"/>
      <c r="H34" s="47"/>
      <c r="I34" s="45"/>
      <c r="J34" s="46"/>
      <c r="K34" s="46"/>
      <c r="L34" s="46"/>
      <c r="M34" s="47"/>
      <c r="N34" s="45"/>
      <c r="O34" s="46"/>
      <c r="P34" s="46"/>
      <c r="Q34" s="46"/>
      <c r="R34" s="47"/>
      <c r="S34" s="47"/>
      <c r="T34" s="48"/>
      <c r="U34" s="45"/>
      <c r="V34" s="49"/>
      <c r="W34" s="45"/>
      <c r="X34" s="49"/>
      <c r="Y34" s="50"/>
      <c r="Z34" s="47"/>
      <c r="AA34" s="46"/>
      <c r="AB34" s="49"/>
      <c r="AC34" s="51"/>
    </row>
    <row r="35" spans="1:32" ht="48" customHeight="1" x14ac:dyDescent="0.2">
      <c r="A35" s="52">
        <v>1</v>
      </c>
      <c r="B35" s="53" t="s">
        <v>41</v>
      </c>
      <c r="C35" s="54" t="s">
        <v>42</v>
      </c>
      <c r="D35" s="55"/>
      <c r="E35" s="56"/>
      <c r="F35" s="56"/>
      <c r="G35" s="57">
        <f>L35/L27</f>
        <v>7.8899082568807328</v>
      </c>
      <c r="H35" s="58">
        <f>SUM(D35:G35)</f>
        <v>7.8899082568807328</v>
      </c>
      <c r="I35" s="55"/>
      <c r="J35" s="56"/>
      <c r="K35" s="56"/>
      <c r="L35" s="57">
        <v>68.8</v>
      </c>
      <c r="M35" s="58">
        <f>SUM(I35:L35)</f>
        <v>68.8</v>
      </c>
      <c r="N35" s="55"/>
      <c r="O35" s="56"/>
      <c r="P35" s="56"/>
      <c r="Q35" s="57">
        <f>L35</f>
        <v>68.8</v>
      </c>
      <c r="R35" s="58">
        <f>SUM(N35:Q35)</f>
        <v>68.8</v>
      </c>
      <c r="S35" s="59"/>
      <c r="T35" s="60">
        <f>R35-S35</f>
        <v>68.8</v>
      </c>
      <c r="U35" s="61">
        <f>T35*1.2</f>
        <v>82.559999999999988</v>
      </c>
      <c r="V35" s="58"/>
      <c r="W35" s="62">
        <f>T35</f>
        <v>68.8</v>
      </c>
      <c r="X35" s="63">
        <f>W35*1.2</f>
        <v>82.559999999999988</v>
      </c>
      <c r="Y35" s="57"/>
      <c r="Z35" s="59"/>
      <c r="AA35" s="64"/>
      <c r="AB35" s="58"/>
      <c r="AC35" s="65"/>
      <c r="AD35" s="66"/>
      <c r="AE35" s="66"/>
      <c r="AF35" s="66"/>
    </row>
    <row r="36" spans="1:32" ht="57.75" customHeight="1" x14ac:dyDescent="0.2">
      <c r="A36" s="67">
        <v>2</v>
      </c>
      <c r="B36" s="68" t="s">
        <v>43</v>
      </c>
      <c r="C36" s="69" t="s">
        <v>44</v>
      </c>
      <c r="D36" s="70"/>
      <c r="E36" s="71"/>
      <c r="F36" s="71"/>
      <c r="G36" s="72">
        <f>L36/L27</f>
        <v>451.72133027522938</v>
      </c>
      <c r="H36" s="58">
        <f t="shared" ref="H36:H42" si="0">SUM(D36:G36)</f>
        <v>451.72133027522938</v>
      </c>
      <c r="I36" s="70"/>
      <c r="J36" s="71"/>
      <c r="K36" s="71"/>
      <c r="L36" s="57">
        <v>3939.01</v>
      </c>
      <c r="M36" s="58">
        <f t="shared" ref="M36:M42" si="1">SUM(I36:L36)</f>
        <v>3939.01</v>
      </c>
      <c r="N36" s="70"/>
      <c r="O36" s="71"/>
      <c r="P36" s="71"/>
      <c r="Q36" s="57">
        <f>L36</f>
        <v>3939.01</v>
      </c>
      <c r="R36" s="58">
        <f t="shared" ref="R36:R41" si="2">SUM(N36:Q36)</f>
        <v>3939.01</v>
      </c>
      <c r="S36" s="59"/>
      <c r="T36" s="60">
        <f t="shared" ref="T36:T42" si="3">R36-S36</f>
        <v>3939.01</v>
      </c>
      <c r="U36" s="61">
        <f>T36*1.2</f>
        <v>4726.8119999999999</v>
      </c>
      <c r="V36" s="58"/>
      <c r="W36" s="62">
        <f>T36</f>
        <v>3939.01</v>
      </c>
      <c r="X36" s="63">
        <f>W36*1.2</f>
        <v>4726.8119999999999</v>
      </c>
      <c r="Y36" s="57"/>
      <c r="Z36" s="59"/>
      <c r="AA36" s="64"/>
      <c r="AB36" s="58"/>
      <c r="AC36" s="65"/>
      <c r="AD36" s="66"/>
      <c r="AE36" s="66"/>
      <c r="AF36" s="66"/>
    </row>
    <row r="37" spans="1:32" ht="19.5" customHeight="1" x14ac:dyDescent="0.2">
      <c r="A37" s="52">
        <v>3</v>
      </c>
      <c r="B37" s="53" t="s">
        <v>45</v>
      </c>
      <c r="C37" s="54" t="s">
        <v>46</v>
      </c>
      <c r="D37" s="73">
        <v>9641.4599999999991</v>
      </c>
      <c r="E37" s="56"/>
      <c r="F37" s="56"/>
      <c r="G37" s="56"/>
      <c r="H37" s="58">
        <f t="shared" si="0"/>
        <v>9641.4599999999991</v>
      </c>
      <c r="I37" s="73">
        <f>ROUND(D37*L21*1.005,2)</f>
        <v>49611.1</v>
      </c>
      <c r="J37" s="56"/>
      <c r="K37" s="56"/>
      <c r="L37" s="56"/>
      <c r="M37" s="58">
        <f t="shared" si="1"/>
        <v>49611.1</v>
      </c>
      <c r="N37" s="218">
        <f>I37</f>
        <v>49611.1</v>
      </c>
      <c r="O37" s="56"/>
      <c r="P37" s="56"/>
      <c r="Q37" s="56"/>
      <c r="R37" s="58">
        <f t="shared" si="2"/>
        <v>49611.1</v>
      </c>
      <c r="S37" s="59"/>
      <c r="T37" s="60">
        <f t="shared" si="3"/>
        <v>49611.1</v>
      </c>
      <c r="U37" s="61">
        <f t="shared" ref="U37:U42" si="4">T37*1.2</f>
        <v>59533.319999999992</v>
      </c>
      <c r="V37" s="58"/>
      <c r="W37" s="61">
        <f>T37</f>
        <v>49611.1</v>
      </c>
      <c r="X37" s="63">
        <f t="shared" ref="X37:X38" si="5">W37*1.2</f>
        <v>59533.319999999992</v>
      </c>
      <c r="Y37" s="57"/>
      <c r="Z37" s="59"/>
      <c r="AA37" s="64"/>
      <c r="AB37" s="58"/>
      <c r="AC37" s="65"/>
      <c r="AD37" s="66"/>
      <c r="AE37" s="66"/>
      <c r="AF37" s="66"/>
    </row>
    <row r="38" spans="1:32" ht="19.5" customHeight="1" x14ac:dyDescent="0.2">
      <c r="A38" s="67">
        <v>4</v>
      </c>
      <c r="B38" s="53" t="s">
        <v>47</v>
      </c>
      <c r="C38" s="54" t="s">
        <v>48</v>
      </c>
      <c r="D38" s="73">
        <v>422.29</v>
      </c>
      <c r="E38" s="56"/>
      <c r="F38" s="56"/>
      <c r="G38" s="56"/>
      <c r="H38" s="58">
        <f t="shared" si="0"/>
        <v>422.29</v>
      </c>
      <c r="I38" s="73">
        <f>ROUND(D38*L21*1.005,2)</f>
        <v>2172.94</v>
      </c>
      <c r="J38" s="56"/>
      <c r="K38" s="56"/>
      <c r="L38" s="56"/>
      <c r="M38" s="58">
        <f t="shared" si="1"/>
        <v>2172.94</v>
      </c>
      <c r="N38" s="73">
        <f>I38</f>
        <v>2172.94</v>
      </c>
      <c r="O38" s="56"/>
      <c r="P38" s="56"/>
      <c r="Q38" s="56"/>
      <c r="R38" s="58">
        <f t="shared" si="2"/>
        <v>2172.94</v>
      </c>
      <c r="S38" s="59"/>
      <c r="T38" s="60">
        <f t="shared" si="3"/>
        <v>2172.94</v>
      </c>
      <c r="U38" s="61">
        <f t="shared" si="4"/>
        <v>2607.5279999999998</v>
      </c>
      <c r="V38" s="58"/>
      <c r="W38" s="61">
        <f>T38</f>
        <v>2172.94</v>
      </c>
      <c r="X38" s="63">
        <f t="shared" si="5"/>
        <v>2607.5279999999998</v>
      </c>
      <c r="Y38" s="57"/>
      <c r="Z38" s="59"/>
      <c r="AA38" s="64"/>
      <c r="AB38" s="58"/>
      <c r="AC38" s="65"/>
      <c r="AD38" s="66"/>
      <c r="AE38" s="66"/>
      <c r="AF38" s="66"/>
    </row>
    <row r="39" spans="1:32" ht="51" customHeight="1" x14ac:dyDescent="0.2">
      <c r="A39" s="52">
        <v>5</v>
      </c>
      <c r="B39" s="74" t="s">
        <v>43</v>
      </c>
      <c r="C39" s="75" t="s">
        <v>49</v>
      </c>
      <c r="D39" s="76"/>
      <c r="E39" s="77"/>
      <c r="F39" s="77"/>
      <c r="G39" s="77">
        <f>ROUND(2352207/8.72/1.18/1000,2)</f>
        <v>228.6</v>
      </c>
      <c r="H39" s="58">
        <f t="shared" si="0"/>
        <v>228.6</v>
      </c>
      <c r="I39" s="76"/>
      <c r="J39" s="77"/>
      <c r="K39" s="77"/>
      <c r="L39" s="77">
        <v>1993.4</v>
      </c>
      <c r="M39" s="58">
        <f t="shared" si="1"/>
        <v>1993.4</v>
      </c>
      <c r="N39" s="76"/>
      <c r="O39" s="77"/>
      <c r="P39" s="77"/>
      <c r="Q39" s="77">
        <v>1993.4</v>
      </c>
      <c r="R39" s="58">
        <f t="shared" si="2"/>
        <v>1993.4</v>
      </c>
      <c r="S39" s="59"/>
      <c r="T39" s="60">
        <f t="shared" si="3"/>
        <v>1993.4</v>
      </c>
      <c r="U39" s="61">
        <f t="shared" si="4"/>
        <v>2392.08</v>
      </c>
      <c r="V39" s="58"/>
      <c r="W39" s="61"/>
      <c r="X39" s="58"/>
      <c r="Y39" s="57"/>
      <c r="Z39" s="59"/>
      <c r="AA39" s="64">
        <f>T39</f>
        <v>1993.4</v>
      </c>
      <c r="AB39" s="58">
        <f>AA39*1.2</f>
        <v>2392.08</v>
      </c>
      <c r="AC39" s="65"/>
      <c r="AD39" s="66"/>
      <c r="AE39" s="66"/>
      <c r="AF39" s="66"/>
    </row>
    <row r="40" spans="1:32" ht="23.25" customHeight="1" x14ac:dyDescent="0.2">
      <c r="A40" s="67">
        <v>6</v>
      </c>
      <c r="B40" s="74" t="s">
        <v>50</v>
      </c>
      <c r="C40" s="75" t="s">
        <v>51</v>
      </c>
      <c r="D40" s="78"/>
      <c r="E40" s="77"/>
      <c r="F40" s="77"/>
      <c r="G40" s="79">
        <v>1626.71</v>
      </c>
      <c r="H40" s="58">
        <f t="shared" ref="H40:H41" si="6">SUM(D40:G40)</f>
        <v>1626.71</v>
      </c>
      <c r="I40" s="78"/>
      <c r="J40" s="77"/>
      <c r="K40" s="77"/>
      <c r="L40" s="79">
        <f t="shared" ref="L40" si="7">ROUND(G40*L22,2)</f>
        <v>7206.33</v>
      </c>
      <c r="M40" s="58">
        <f t="shared" ref="M40:M41" si="8">SUM(I40:L40)</f>
        <v>7206.33</v>
      </c>
      <c r="N40" s="78"/>
      <c r="O40" s="77"/>
      <c r="P40" s="77"/>
      <c r="Q40" s="79">
        <f>G40*L26</f>
        <v>6392.9703</v>
      </c>
      <c r="R40" s="58">
        <f t="shared" si="2"/>
        <v>6392.9703</v>
      </c>
      <c r="S40" s="59"/>
      <c r="T40" s="60">
        <f t="shared" si="3"/>
        <v>6392.9703</v>
      </c>
      <c r="U40" s="61">
        <f t="shared" si="4"/>
        <v>7671.5643599999994</v>
      </c>
      <c r="V40" s="58"/>
      <c r="W40" s="61">
        <f>T40</f>
        <v>6392.9703</v>
      </c>
      <c r="X40" s="63">
        <f>W40*1.2</f>
        <v>7671.5643599999994</v>
      </c>
      <c r="Y40" s="80"/>
      <c r="Z40" s="59"/>
      <c r="AA40" s="81"/>
      <c r="AB40" s="58"/>
      <c r="AC40" s="65"/>
      <c r="AD40" s="66"/>
      <c r="AE40" s="66"/>
      <c r="AF40" s="66"/>
    </row>
    <row r="41" spans="1:32" ht="40.5" customHeight="1" x14ac:dyDescent="0.2">
      <c r="A41" s="52">
        <v>7</v>
      </c>
      <c r="B41" s="74" t="s">
        <v>52</v>
      </c>
      <c r="C41" s="75" t="s">
        <v>53</v>
      </c>
      <c r="D41" s="78"/>
      <c r="E41" s="77"/>
      <c r="F41" s="77"/>
      <c r="G41" s="79">
        <f>L41/L27</f>
        <v>943.54362614678882</v>
      </c>
      <c r="H41" s="58">
        <f t="shared" si="6"/>
        <v>943.54362614678882</v>
      </c>
      <c r="I41" s="78"/>
      <c r="J41" s="77"/>
      <c r="K41" s="77"/>
      <c r="L41" s="79">
        <f>4113.85021*2</f>
        <v>8227.7004199999992</v>
      </c>
      <c r="M41" s="58">
        <f t="shared" si="8"/>
        <v>8227.7004199999992</v>
      </c>
      <c r="N41" s="78"/>
      <c r="O41" s="77"/>
      <c r="P41" s="77"/>
      <c r="Q41" s="79">
        <f>4113.85021*2</f>
        <v>8227.7004199999992</v>
      </c>
      <c r="R41" s="58">
        <f t="shared" si="2"/>
        <v>8227.7004199999992</v>
      </c>
      <c r="S41" s="59"/>
      <c r="T41" s="60">
        <f t="shared" si="3"/>
        <v>8227.7004199999992</v>
      </c>
      <c r="U41" s="61">
        <f t="shared" si="4"/>
        <v>9873.2405039999994</v>
      </c>
      <c r="V41" s="58"/>
      <c r="W41" s="62">
        <f>T41</f>
        <v>8227.7004199999992</v>
      </c>
      <c r="X41" s="63">
        <f>W41*1.2</f>
        <v>9873.2405039999994</v>
      </c>
      <c r="Y41" s="80"/>
      <c r="Z41" s="59"/>
      <c r="AA41" s="81"/>
      <c r="AB41" s="58"/>
      <c r="AC41" s="65"/>
      <c r="AD41" s="66"/>
      <c r="AE41" s="66"/>
      <c r="AF41" s="66"/>
    </row>
    <row r="42" spans="1:32" ht="23.25" customHeight="1" x14ac:dyDescent="0.2">
      <c r="A42" s="67">
        <v>8</v>
      </c>
      <c r="B42" s="74" t="s">
        <v>54</v>
      </c>
      <c r="C42" s="75" t="s">
        <v>55</v>
      </c>
      <c r="D42" s="78"/>
      <c r="E42" s="77"/>
      <c r="F42" s="77"/>
      <c r="G42" s="79">
        <f>L42/L27</f>
        <v>1067.5105516055046</v>
      </c>
      <c r="H42" s="82">
        <f t="shared" si="0"/>
        <v>1067.5105516055046</v>
      </c>
      <c r="I42" s="78"/>
      <c r="J42" s="77"/>
      <c r="K42" s="77"/>
      <c r="L42" s="79">
        <f>9308.69201</f>
        <v>9308.6920100000007</v>
      </c>
      <c r="M42" s="82">
        <f t="shared" si="1"/>
        <v>9308.6920100000007</v>
      </c>
      <c r="N42" s="78"/>
      <c r="O42" s="77"/>
      <c r="P42" s="77"/>
      <c r="Q42" s="79">
        <f>9308.69201</f>
        <v>9308.6920100000007</v>
      </c>
      <c r="R42" s="82">
        <f t="shared" ref="R42:R43" si="9">SUM(N42:Q42)</f>
        <v>9308.6920100000007</v>
      </c>
      <c r="S42" s="83"/>
      <c r="T42" s="60">
        <f t="shared" si="3"/>
        <v>9308.6920100000007</v>
      </c>
      <c r="U42" s="61">
        <f t="shared" si="4"/>
        <v>11170.430412</v>
      </c>
      <c r="V42" s="58"/>
      <c r="W42" s="84">
        <f>T42</f>
        <v>9308.6920100000007</v>
      </c>
      <c r="X42" s="82">
        <f>W42*1.2</f>
        <v>11170.430412</v>
      </c>
      <c r="Y42" s="85"/>
      <c r="Z42" s="83"/>
      <c r="AA42" s="86"/>
      <c r="AB42" s="82"/>
      <c r="AC42" s="65"/>
      <c r="AD42" s="66"/>
      <c r="AE42" s="66"/>
      <c r="AF42" s="66"/>
    </row>
    <row r="43" spans="1:32" ht="23.25" customHeight="1" thickBot="1" x14ac:dyDescent="0.25">
      <c r="A43" s="67"/>
      <c r="B43" s="87" t="s">
        <v>54</v>
      </c>
      <c r="C43" s="88" t="s">
        <v>56</v>
      </c>
      <c r="D43" s="78"/>
      <c r="E43" s="77"/>
      <c r="F43" s="77"/>
      <c r="G43" s="79"/>
      <c r="H43" s="82"/>
      <c r="I43" s="78"/>
      <c r="J43" s="77"/>
      <c r="K43" s="77"/>
      <c r="L43" s="79"/>
      <c r="M43" s="82"/>
      <c r="N43" s="78"/>
      <c r="O43" s="77"/>
      <c r="P43" s="77"/>
      <c r="Q43" s="79">
        <v>16488.577109019119</v>
      </c>
      <c r="R43" s="82">
        <f t="shared" si="9"/>
        <v>16488.577109019119</v>
      </c>
      <c r="S43" s="83"/>
      <c r="T43" s="89">
        <f>R43-S43</f>
        <v>16488.577109019119</v>
      </c>
      <c r="U43" s="90">
        <f>T43*1.2</f>
        <v>19786.292530822942</v>
      </c>
      <c r="V43" s="91"/>
      <c r="W43" s="92"/>
      <c r="X43" s="93"/>
      <c r="Y43" s="94">
        <v>7497.8237960529596</v>
      </c>
      <c r="Z43" s="95">
        <f>Y43*1.2</f>
        <v>8997.3885552635511</v>
      </c>
      <c r="AA43" s="96">
        <v>8990.7533129661588</v>
      </c>
      <c r="AB43" s="93">
        <f>AA43*1.2</f>
        <v>10788.903975559389</v>
      </c>
      <c r="AC43" s="65"/>
      <c r="AD43" s="66"/>
      <c r="AE43" s="66"/>
      <c r="AF43" s="66"/>
    </row>
    <row r="44" spans="1:32" s="106" customFormat="1" ht="15.75" customHeight="1" thickBot="1" x14ac:dyDescent="0.25">
      <c r="A44" s="97"/>
      <c r="B44" s="295" t="s">
        <v>57</v>
      </c>
      <c r="C44" s="296"/>
      <c r="D44" s="98">
        <f t="shared" ref="D44" si="10">SUM(D35:D43)</f>
        <v>10063.75</v>
      </c>
      <c r="E44" s="98">
        <f t="shared" ref="E44:F44" si="11">SUM(E35:E43)</f>
        <v>0</v>
      </c>
      <c r="F44" s="98">
        <f t="shared" si="11"/>
        <v>0</v>
      </c>
      <c r="G44" s="98">
        <f>SUM(G35:G43)</f>
        <v>4325.9754162844038</v>
      </c>
      <c r="H44" s="98">
        <f>SUM(H35:H43)</f>
        <v>14389.725416284406</v>
      </c>
      <c r="I44" s="98">
        <f t="shared" ref="I44:K44" si="12">SUM(I35:I43)</f>
        <v>51784.04</v>
      </c>
      <c r="J44" s="98">
        <f t="shared" si="12"/>
        <v>0</v>
      </c>
      <c r="K44" s="98">
        <f t="shared" si="12"/>
        <v>0</v>
      </c>
      <c r="L44" s="98">
        <f>SUM(L35:L43)</f>
        <v>30743.932430000001</v>
      </c>
      <c r="M44" s="98">
        <f>SUM(M35:M43)</f>
        <v>82527.972429999994</v>
      </c>
      <c r="N44" s="98">
        <f t="shared" ref="N44:P44" si="13">SUM(N35:N43)</f>
        <v>51784.04</v>
      </c>
      <c r="O44" s="98">
        <f t="shared" si="13"/>
        <v>0</v>
      </c>
      <c r="P44" s="98">
        <f t="shared" si="13"/>
        <v>0</v>
      </c>
      <c r="Q44" s="98">
        <f>SUM(Q35:Q43)</f>
        <v>46419.149839019119</v>
      </c>
      <c r="R44" s="98">
        <f>SUM(R35:R43)</f>
        <v>98203.18983901912</v>
      </c>
      <c r="S44" s="99">
        <f>SUM(S35:S43)</f>
        <v>0</v>
      </c>
      <c r="T44" s="100">
        <f t="shared" ref="T44:AB44" si="14">SUM(T35:T43)</f>
        <v>98203.18983901912</v>
      </c>
      <c r="U44" s="101">
        <f t="shared" si="14"/>
        <v>117843.82780682296</v>
      </c>
      <c r="V44" s="102">
        <f t="shared" si="14"/>
        <v>0</v>
      </c>
      <c r="W44" s="101">
        <f t="shared" si="14"/>
        <v>79721.212729999999</v>
      </c>
      <c r="X44" s="102">
        <f t="shared" si="14"/>
        <v>95665.455276000008</v>
      </c>
      <c r="Y44" s="103">
        <f t="shared" si="14"/>
        <v>7497.8237960529596</v>
      </c>
      <c r="Z44" s="104">
        <f t="shared" si="14"/>
        <v>8997.3885552635511</v>
      </c>
      <c r="AA44" s="105">
        <f t="shared" si="14"/>
        <v>10984.153312966158</v>
      </c>
      <c r="AB44" s="102">
        <f t="shared" si="14"/>
        <v>13180.983975559389</v>
      </c>
      <c r="AC44" s="65"/>
      <c r="AD44" s="66"/>
      <c r="AE44" s="66"/>
      <c r="AF44" s="66"/>
    </row>
    <row r="45" spans="1:32" ht="18" customHeight="1" x14ac:dyDescent="0.2">
      <c r="A45" s="293" t="s">
        <v>58</v>
      </c>
      <c r="B45" s="297"/>
      <c r="C45" s="297"/>
      <c r="D45" s="107"/>
      <c r="E45" s="108"/>
      <c r="F45" s="108"/>
      <c r="G45" s="108"/>
      <c r="H45" s="109"/>
      <c r="I45" s="107"/>
      <c r="J45" s="108"/>
      <c r="K45" s="108"/>
      <c r="L45" s="108"/>
      <c r="M45" s="109"/>
      <c r="N45" s="107"/>
      <c r="O45" s="108"/>
      <c r="P45" s="108"/>
      <c r="Q45" s="108"/>
      <c r="R45" s="109"/>
      <c r="S45" s="109"/>
      <c r="T45" s="110"/>
      <c r="U45" s="107"/>
      <c r="V45" s="111"/>
      <c r="W45" s="107"/>
      <c r="X45" s="112"/>
      <c r="Y45" s="113"/>
      <c r="Z45" s="114"/>
      <c r="AA45" s="108"/>
      <c r="AB45" s="111"/>
      <c r="AC45" s="65"/>
      <c r="AD45" s="66"/>
      <c r="AE45" s="66"/>
      <c r="AF45" s="66"/>
    </row>
    <row r="46" spans="1:32" ht="18" customHeight="1" x14ac:dyDescent="0.2">
      <c r="A46" s="52">
        <v>7</v>
      </c>
      <c r="B46" s="53" t="s">
        <v>59</v>
      </c>
      <c r="C46" s="54" t="s">
        <v>60</v>
      </c>
      <c r="D46" s="73">
        <v>265549.21999999997</v>
      </c>
      <c r="E46" s="57">
        <v>10.17</v>
      </c>
      <c r="F46" s="56"/>
      <c r="G46" s="56"/>
      <c r="H46" s="58">
        <f>SUM(D46:G46)</f>
        <v>265559.38999999996</v>
      </c>
      <c r="I46" s="73">
        <f>ROUND(D46*L21*1.005,2)</f>
        <v>1366410.07</v>
      </c>
      <c r="J46" s="80">
        <f>ROUND(E46*L21*1.005,2)</f>
        <v>52.33</v>
      </c>
      <c r="K46" s="56"/>
      <c r="L46" s="56"/>
      <c r="M46" s="58">
        <f>SUM(I46:L46)</f>
        <v>1366462.4000000001</v>
      </c>
      <c r="N46" s="236">
        <f>I46-S28</f>
        <v>1340783.6794794842</v>
      </c>
      <c r="O46" s="80">
        <f>J46</f>
        <v>52.33</v>
      </c>
      <c r="P46" s="56"/>
      <c r="Q46" s="56"/>
      <c r="R46" s="58">
        <f>SUM(N46:Q46)</f>
        <v>1340836.0094794843</v>
      </c>
      <c r="S46" s="59"/>
      <c r="T46" s="60">
        <f>R46-S46</f>
        <v>1340836.0094794843</v>
      </c>
      <c r="U46" s="115">
        <v>740503.27132738126</v>
      </c>
      <c r="V46" s="58"/>
      <c r="W46" s="61"/>
      <c r="X46" s="64"/>
      <c r="Y46" s="73">
        <f>T46*$Y$29</f>
        <v>938585.20663563896</v>
      </c>
      <c r="Z46" s="116">
        <v>518352.28992916684</v>
      </c>
      <c r="AA46" s="117">
        <f>T46-Y46</f>
        <v>402250.80284384533</v>
      </c>
      <c r="AB46" s="118">
        <v>222150.98139821438</v>
      </c>
      <c r="AC46" s="65"/>
      <c r="AD46" s="66"/>
      <c r="AE46" s="66"/>
      <c r="AF46" s="66"/>
    </row>
    <row r="47" spans="1:32" ht="18" customHeight="1" thickBot="1" x14ac:dyDescent="0.25">
      <c r="A47" s="119">
        <v>8</v>
      </c>
      <c r="B47" s="74" t="s">
        <v>61</v>
      </c>
      <c r="C47" s="75" t="s">
        <v>62</v>
      </c>
      <c r="D47" s="76">
        <v>14988.53</v>
      </c>
      <c r="E47" s="79">
        <v>0.55000000000000004</v>
      </c>
      <c r="F47" s="77"/>
      <c r="G47" s="77"/>
      <c r="H47" s="82">
        <f>SUM(D47:G47)</f>
        <v>14989.08</v>
      </c>
      <c r="I47" s="120">
        <f>ROUND(D47*L21*1.005,2)</f>
        <v>77124.98</v>
      </c>
      <c r="J47" s="80">
        <f>ROUND(E47*L21*1.005,2)</f>
        <v>2.83</v>
      </c>
      <c r="K47" s="77"/>
      <c r="L47" s="77"/>
      <c r="M47" s="82">
        <f>SUM(I47:L47)</f>
        <v>77127.81</v>
      </c>
      <c r="N47" s="73">
        <f>I47</f>
        <v>77124.98</v>
      </c>
      <c r="O47" s="80">
        <f>J47</f>
        <v>2.83</v>
      </c>
      <c r="P47" s="77"/>
      <c r="Q47" s="77"/>
      <c r="R47" s="82">
        <f>SUM(N47:Q47)</f>
        <v>77127.81</v>
      </c>
      <c r="S47" s="83"/>
      <c r="T47" s="60">
        <f t="shared" ref="T47" si="15">R47-S47</f>
        <v>77127.81</v>
      </c>
      <c r="U47" s="61">
        <f>T47*1.2</f>
        <v>92553.371999999988</v>
      </c>
      <c r="V47" s="82"/>
      <c r="W47" s="121"/>
      <c r="X47" s="122"/>
      <c r="Y47" s="73">
        <f>T47*$Y$29</f>
        <v>53989.466999999997</v>
      </c>
      <c r="Z47" s="59">
        <f>Y47*1.2</f>
        <v>64787.36039999999</v>
      </c>
      <c r="AA47" s="81">
        <f>T47-Y47</f>
        <v>23138.343000000001</v>
      </c>
      <c r="AB47" s="58">
        <f>AA47*1.2</f>
        <v>27766.011600000002</v>
      </c>
      <c r="AC47" s="65"/>
      <c r="AD47" s="66"/>
      <c r="AE47" s="66"/>
      <c r="AF47" s="66"/>
    </row>
    <row r="48" spans="1:32" s="106" customFormat="1" ht="17.25" customHeight="1" thickBot="1" x14ac:dyDescent="0.25">
      <c r="A48" s="123"/>
      <c r="B48" s="298" t="s">
        <v>63</v>
      </c>
      <c r="C48" s="299"/>
      <c r="D48" s="124">
        <f>SUM(D46:D47)</f>
        <v>280537.75</v>
      </c>
      <c r="E48" s="98">
        <f>SUM(E46:E47)</f>
        <v>10.72</v>
      </c>
      <c r="F48" s="98">
        <f>SUM(F46:F47)</f>
        <v>0</v>
      </c>
      <c r="G48" s="98">
        <f>SUM(G46:G47)</f>
        <v>0</v>
      </c>
      <c r="H48" s="102">
        <f>SUM(D48:G48)</f>
        <v>280548.46999999997</v>
      </c>
      <c r="I48" s="124">
        <f>SUM(I46:I47)</f>
        <v>1443535.05</v>
      </c>
      <c r="J48" s="98">
        <f>SUM(J46:J47)</f>
        <v>55.16</v>
      </c>
      <c r="K48" s="98">
        <f>SUM(K46:K47)</f>
        <v>0</v>
      </c>
      <c r="L48" s="98">
        <f>SUM(L46:L47)</f>
        <v>0</v>
      </c>
      <c r="M48" s="102">
        <f>SUM(I48:L48)</f>
        <v>1443590.21</v>
      </c>
      <c r="N48" s="124">
        <f>SUM(N46:N47)</f>
        <v>1417908.6594794842</v>
      </c>
      <c r="O48" s="98">
        <f>SUM(O46:O47)</f>
        <v>55.16</v>
      </c>
      <c r="P48" s="98">
        <f>SUM(P46:P47)</f>
        <v>0</v>
      </c>
      <c r="Q48" s="98">
        <f>SUM(Q46:Q47)</f>
        <v>0</v>
      </c>
      <c r="R48" s="102">
        <f>SUM(N48:Q48)</f>
        <v>1417963.8194794841</v>
      </c>
      <c r="S48" s="99">
        <f>SUM(S46:S47)</f>
        <v>0</v>
      </c>
      <c r="T48" s="100">
        <f>SUM(T46:T47)</f>
        <v>1417963.8194794843</v>
      </c>
      <c r="U48" s="101">
        <f>SUM(U46:U47)</f>
        <v>833056.64332738123</v>
      </c>
      <c r="V48" s="102">
        <f t="shared" ref="V48" si="16">SUM(V46:V47)</f>
        <v>0</v>
      </c>
      <c r="W48" s="101">
        <f>SUM(W46:W47)</f>
        <v>0</v>
      </c>
      <c r="X48" s="125">
        <f t="shared" ref="X48:AB48" si="17">SUM(X46:X47)</f>
        <v>0</v>
      </c>
      <c r="Y48" s="124">
        <f t="shared" si="17"/>
        <v>992574.6736356389</v>
      </c>
      <c r="Z48" s="104">
        <f t="shared" si="17"/>
        <v>583139.65032916679</v>
      </c>
      <c r="AA48" s="105">
        <f t="shared" si="17"/>
        <v>425389.14584384533</v>
      </c>
      <c r="AB48" s="102">
        <f t="shared" si="17"/>
        <v>249916.99299821438</v>
      </c>
      <c r="AC48" s="65"/>
      <c r="AD48" s="66"/>
      <c r="AE48" s="66"/>
      <c r="AF48" s="66"/>
    </row>
    <row r="49" spans="1:34" ht="17.25" customHeight="1" x14ac:dyDescent="0.2">
      <c r="A49" s="300" t="s">
        <v>64</v>
      </c>
      <c r="B49" s="297"/>
      <c r="C49" s="297"/>
      <c r="D49" s="107"/>
      <c r="E49" s="108"/>
      <c r="F49" s="108"/>
      <c r="G49" s="108"/>
      <c r="H49" s="109"/>
      <c r="I49" s="107"/>
      <c r="J49" s="108"/>
      <c r="K49" s="108"/>
      <c r="L49" s="108"/>
      <c r="M49" s="109"/>
      <c r="N49" s="107"/>
      <c r="O49" s="108"/>
      <c r="P49" s="108"/>
      <c r="Q49" s="108"/>
      <c r="R49" s="109"/>
      <c r="S49" s="109"/>
      <c r="T49" s="110"/>
      <c r="U49" s="107"/>
      <c r="V49" s="111"/>
      <c r="W49" s="107"/>
      <c r="X49" s="112"/>
      <c r="Y49" s="107"/>
      <c r="Z49" s="126"/>
      <c r="AA49" s="108"/>
      <c r="AB49" s="126"/>
      <c r="AC49" s="65"/>
      <c r="AD49" s="66"/>
      <c r="AE49" s="66"/>
      <c r="AF49" s="66"/>
    </row>
    <row r="50" spans="1:34" s="106" customFormat="1" ht="14.25" x14ac:dyDescent="0.2">
      <c r="A50" s="127"/>
      <c r="B50" s="301" t="s">
        <v>65</v>
      </c>
      <c r="C50" s="302"/>
      <c r="D50" s="128">
        <f>D44+D48</f>
        <v>290601.5</v>
      </c>
      <c r="E50" s="129">
        <f>E44+E48</f>
        <v>10.72</v>
      </c>
      <c r="F50" s="129">
        <f>F44+F48</f>
        <v>0</v>
      </c>
      <c r="G50" s="129">
        <f>G44+G48</f>
        <v>4325.9754162844038</v>
      </c>
      <c r="H50" s="130">
        <f>SUM(D50:G50)</f>
        <v>294938.19541628438</v>
      </c>
      <c r="I50" s="128">
        <f>I44+I48</f>
        <v>1495319.09</v>
      </c>
      <c r="J50" s="129">
        <f>J44+J48</f>
        <v>55.16</v>
      </c>
      <c r="K50" s="129">
        <f>K44+K48</f>
        <v>0</v>
      </c>
      <c r="L50" s="129">
        <f>L44+L48</f>
        <v>30743.932430000001</v>
      </c>
      <c r="M50" s="130">
        <f>SUM(I50:L50)</f>
        <v>1526118.18243</v>
      </c>
      <c r="N50" s="128">
        <f>N44+N48</f>
        <v>1469692.6994794842</v>
      </c>
      <c r="O50" s="129">
        <f>O44+O48</f>
        <v>55.16</v>
      </c>
      <c r="P50" s="129">
        <f>P44+P48</f>
        <v>0</v>
      </c>
      <c r="Q50" s="129">
        <f>Q44+Q48</f>
        <v>46419.149839019119</v>
      </c>
      <c r="R50" s="130">
        <f>SUM(N50:Q50)</f>
        <v>1516167.0093185033</v>
      </c>
      <c r="S50" s="131">
        <f>S44+S48</f>
        <v>0</v>
      </c>
      <c r="T50" s="132">
        <f>T44+T48</f>
        <v>1516167.0093185036</v>
      </c>
      <c r="U50" s="133">
        <f>U44+U48</f>
        <v>950900.47113420418</v>
      </c>
      <c r="V50" s="130">
        <f>V44+V48</f>
        <v>0</v>
      </c>
      <c r="W50" s="133">
        <f t="shared" ref="W50:AB50" si="18">W44+W48</f>
        <v>79721.212729999999</v>
      </c>
      <c r="X50" s="134">
        <f t="shared" si="18"/>
        <v>95665.455276000008</v>
      </c>
      <c r="Y50" s="133">
        <f t="shared" si="18"/>
        <v>1000072.4974316919</v>
      </c>
      <c r="Z50" s="130">
        <f t="shared" si="18"/>
        <v>592137.03888443031</v>
      </c>
      <c r="AA50" s="135">
        <f t="shared" si="18"/>
        <v>436373.2991568115</v>
      </c>
      <c r="AB50" s="130">
        <f t="shared" si="18"/>
        <v>263097.9769737738</v>
      </c>
      <c r="AC50" s="65"/>
      <c r="AD50" s="66"/>
      <c r="AE50" s="66"/>
      <c r="AF50" s="66"/>
      <c r="AG50" s="66"/>
    </row>
    <row r="51" spans="1:34" ht="17.25" customHeight="1" x14ac:dyDescent="0.2">
      <c r="A51" s="293" t="s">
        <v>66</v>
      </c>
      <c r="B51" s="294"/>
      <c r="C51" s="294"/>
      <c r="D51" s="136"/>
      <c r="E51" s="137"/>
      <c r="F51" s="137"/>
      <c r="G51" s="137"/>
      <c r="H51" s="138"/>
      <c r="I51" s="136"/>
      <c r="J51" s="137"/>
      <c r="K51" s="137"/>
      <c r="L51" s="137"/>
      <c r="M51" s="138"/>
      <c r="N51" s="136"/>
      <c r="O51" s="137"/>
      <c r="P51" s="137"/>
      <c r="Q51" s="137"/>
      <c r="R51" s="138"/>
      <c r="S51" s="138"/>
      <c r="T51" s="139"/>
      <c r="U51" s="136"/>
      <c r="V51" s="140"/>
      <c r="W51" s="136"/>
      <c r="X51" s="141"/>
      <c r="Y51" s="142"/>
      <c r="Z51" s="143"/>
      <c r="AA51" s="144"/>
      <c r="AB51" s="140"/>
      <c r="AC51" s="65"/>
      <c r="AD51" s="66"/>
      <c r="AE51" s="66"/>
      <c r="AF51" s="66"/>
      <c r="AG51" s="66"/>
      <c r="AH51" s="145"/>
    </row>
    <row r="52" spans="1:34" ht="19.5" customHeight="1" x14ac:dyDescent="0.2">
      <c r="A52" s="52">
        <v>9</v>
      </c>
      <c r="B52" s="53" t="s">
        <v>67</v>
      </c>
      <c r="C52" s="54" t="s">
        <v>68</v>
      </c>
      <c r="D52" s="73">
        <f>ROUND(D50*3.3%,2)</f>
        <v>9589.85</v>
      </c>
      <c r="E52" s="57">
        <f>ROUND(E50*3.3%,2)</f>
        <v>0.35</v>
      </c>
      <c r="F52" s="56"/>
      <c r="G52" s="56"/>
      <c r="H52" s="58">
        <f>SUM(D52:G52)</f>
        <v>9590.2000000000007</v>
      </c>
      <c r="I52" s="73">
        <f>ROUND(I50*3.3%,2)</f>
        <v>49345.53</v>
      </c>
      <c r="J52" s="57">
        <f>ROUND(J50*3.3%,2)</f>
        <v>1.82</v>
      </c>
      <c r="K52" s="56"/>
      <c r="L52" s="56"/>
      <c r="M52" s="58">
        <f>SUM(I52:L52)</f>
        <v>49347.35</v>
      </c>
      <c r="N52" s="73">
        <f>ROUND(N50*3.3%,2)</f>
        <v>48499.86</v>
      </c>
      <c r="O52" s="57">
        <f>ROUND(O50*3.3%,2)</f>
        <v>1.82</v>
      </c>
      <c r="P52" s="56"/>
      <c r="Q52" s="56"/>
      <c r="R52" s="58">
        <f>SUM(N52:Q52)</f>
        <v>48501.68</v>
      </c>
      <c r="S52" s="59"/>
      <c r="T52" s="146">
        <f>ROUND((T50-T42-T41-T40-T39-T36-T43-T35)*3.3%,2)</f>
        <v>48501.68</v>
      </c>
      <c r="U52" s="147">
        <f>T52*1.2</f>
        <v>58202.015999999996</v>
      </c>
      <c r="V52" s="58"/>
      <c r="W52" s="148">
        <f>ROUND((W50-W42-W41-W40-W39-W36-W43-W35)*3.3%,2)</f>
        <v>1708.87</v>
      </c>
      <c r="X52" s="149">
        <f>W52*1.2</f>
        <v>2050.6439999999998</v>
      </c>
      <c r="Y52" s="150">
        <f>ROUND((Y50-Y42-Y41-Y40-Y39-Y36-Y43-Y35)*3.3%,2)</f>
        <v>32754.959999999999</v>
      </c>
      <c r="Z52" s="149">
        <f>Y52*1.2</f>
        <v>39305.951999999997</v>
      </c>
      <c r="AA52" s="151">
        <f>ROUND((AA50-AA42-AA41-AA40-AA39-AA36-AA43-AA35)*3.3%,2)</f>
        <v>14037.84</v>
      </c>
      <c r="AB52" s="149">
        <f>AA52*1.2</f>
        <v>16845.407999999999</v>
      </c>
      <c r="AC52" s="65"/>
      <c r="AD52" s="66"/>
      <c r="AE52" s="66"/>
      <c r="AF52" s="66"/>
      <c r="AG52" s="66"/>
    </row>
    <row r="53" spans="1:34" s="106" customFormat="1" ht="18.75" customHeight="1" x14ac:dyDescent="0.2">
      <c r="A53" s="127"/>
      <c r="B53" s="301" t="s">
        <v>69</v>
      </c>
      <c r="C53" s="302"/>
      <c r="D53" s="128">
        <f>D52</f>
        <v>9589.85</v>
      </c>
      <c r="E53" s="129">
        <f>E52</f>
        <v>0.35</v>
      </c>
      <c r="F53" s="152"/>
      <c r="G53" s="152"/>
      <c r="H53" s="130">
        <f>SUM(D53:G53)</f>
        <v>9590.2000000000007</v>
      </c>
      <c r="I53" s="128">
        <f>I52</f>
        <v>49345.53</v>
      </c>
      <c r="J53" s="129">
        <f>J52</f>
        <v>1.82</v>
      </c>
      <c r="K53" s="152"/>
      <c r="L53" s="152"/>
      <c r="M53" s="130">
        <f>SUM(I53:L53)</f>
        <v>49347.35</v>
      </c>
      <c r="N53" s="128">
        <f>N52</f>
        <v>48499.86</v>
      </c>
      <c r="O53" s="129">
        <f>O52</f>
        <v>1.82</v>
      </c>
      <c r="P53" s="152"/>
      <c r="Q53" s="152"/>
      <c r="R53" s="130">
        <f>SUM(N53:Q53)</f>
        <v>48501.68</v>
      </c>
      <c r="S53" s="131">
        <f>S52</f>
        <v>0</v>
      </c>
      <c r="T53" s="132">
        <f>T52</f>
        <v>48501.68</v>
      </c>
      <c r="U53" s="133">
        <f>U52</f>
        <v>58202.015999999996</v>
      </c>
      <c r="V53" s="130">
        <f t="shared" ref="V53:AA53" si="19">V52</f>
        <v>0</v>
      </c>
      <c r="W53" s="133">
        <f t="shared" si="19"/>
        <v>1708.87</v>
      </c>
      <c r="X53" s="134">
        <f t="shared" si="19"/>
        <v>2050.6439999999998</v>
      </c>
      <c r="Y53" s="133">
        <f t="shared" si="19"/>
        <v>32754.959999999999</v>
      </c>
      <c r="Z53" s="130">
        <f t="shared" si="19"/>
        <v>39305.951999999997</v>
      </c>
      <c r="AA53" s="135">
        <f t="shared" si="19"/>
        <v>14037.84</v>
      </c>
      <c r="AB53" s="130">
        <f>AB52</f>
        <v>16845.407999999999</v>
      </c>
      <c r="AC53" s="65"/>
      <c r="AD53" s="66"/>
      <c r="AE53" s="66"/>
      <c r="AF53" s="66"/>
      <c r="AG53" s="66"/>
    </row>
    <row r="54" spans="1:34" s="106" customFormat="1" ht="14.25" x14ac:dyDescent="0.2">
      <c r="A54" s="127"/>
      <c r="B54" s="301" t="s">
        <v>70</v>
      </c>
      <c r="C54" s="302"/>
      <c r="D54" s="128">
        <f>D50+D53</f>
        <v>300191.34999999998</v>
      </c>
      <c r="E54" s="129">
        <f>E50+E53</f>
        <v>11.07</v>
      </c>
      <c r="F54" s="129">
        <f>F50+F53</f>
        <v>0</v>
      </c>
      <c r="G54" s="129">
        <f>G50+G53</f>
        <v>4325.9754162844038</v>
      </c>
      <c r="H54" s="130">
        <f>SUM(D54:G54)</f>
        <v>304528.39541628439</v>
      </c>
      <c r="I54" s="128">
        <f>I50+I53</f>
        <v>1544664.62</v>
      </c>
      <c r="J54" s="129">
        <f>J50+J53</f>
        <v>56.98</v>
      </c>
      <c r="K54" s="129">
        <f>K50+K53</f>
        <v>0</v>
      </c>
      <c r="L54" s="129">
        <f>L50+L53</f>
        <v>30743.932430000001</v>
      </c>
      <c r="M54" s="130">
        <f>SUM(I54:L54)</f>
        <v>1575465.5324300001</v>
      </c>
      <c r="N54" s="128">
        <f>N50+N53</f>
        <v>1518192.5594794843</v>
      </c>
      <c r="O54" s="129">
        <f>O50+O53</f>
        <v>56.98</v>
      </c>
      <c r="P54" s="129">
        <f>P50+P53</f>
        <v>0</v>
      </c>
      <c r="Q54" s="129">
        <f>Q50+Q53</f>
        <v>46419.149839019119</v>
      </c>
      <c r="R54" s="130">
        <f>SUM(N54:Q54)</f>
        <v>1564668.6893185035</v>
      </c>
      <c r="S54" s="131">
        <f t="shared" ref="S54:AB54" si="20">S50+S53</f>
        <v>0</v>
      </c>
      <c r="T54" s="132">
        <f t="shared" si="20"/>
        <v>1564668.6893185035</v>
      </c>
      <c r="U54" s="133">
        <f t="shared" si="20"/>
        <v>1009102.4871342041</v>
      </c>
      <c r="V54" s="130">
        <f t="shared" si="20"/>
        <v>0</v>
      </c>
      <c r="W54" s="133">
        <f t="shared" si="20"/>
        <v>81430.082729999995</v>
      </c>
      <c r="X54" s="134">
        <f t="shared" si="20"/>
        <v>97716.099276000008</v>
      </c>
      <c r="Y54" s="133">
        <f t="shared" si="20"/>
        <v>1032827.4574316918</v>
      </c>
      <c r="Z54" s="130">
        <f t="shared" si="20"/>
        <v>631442.99088443036</v>
      </c>
      <c r="AA54" s="135">
        <f t="shared" si="20"/>
        <v>450411.13915681152</v>
      </c>
      <c r="AB54" s="130">
        <f t="shared" si="20"/>
        <v>279943.38497377379</v>
      </c>
      <c r="AC54" s="65"/>
      <c r="AD54" s="66"/>
      <c r="AE54" s="66"/>
      <c r="AF54" s="66"/>
      <c r="AG54" s="66"/>
    </row>
    <row r="55" spans="1:34" ht="17.25" customHeight="1" x14ac:dyDescent="0.2">
      <c r="A55" s="153" t="s">
        <v>71</v>
      </c>
      <c r="B55" s="154"/>
      <c r="C55" s="155"/>
      <c r="D55" s="136"/>
      <c r="E55" s="137"/>
      <c r="F55" s="137"/>
      <c r="G55" s="137"/>
      <c r="H55" s="138"/>
      <c r="I55" s="136"/>
      <c r="J55" s="137"/>
      <c r="K55" s="137"/>
      <c r="L55" s="137"/>
      <c r="M55" s="138"/>
      <c r="N55" s="136"/>
      <c r="O55" s="137"/>
      <c r="P55" s="137"/>
      <c r="Q55" s="137"/>
      <c r="R55" s="138"/>
      <c r="S55" s="138"/>
      <c r="T55" s="139"/>
      <c r="U55" s="136"/>
      <c r="V55" s="140"/>
      <c r="W55" s="136"/>
      <c r="X55" s="141"/>
      <c r="Y55" s="136"/>
      <c r="Z55" s="140"/>
      <c r="AA55" s="136"/>
      <c r="AB55" s="140"/>
      <c r="AC55" s="65"/>
      <c r="AD55" s="66"/>
      <c r="AE55" s="66"/>
      <c r="AF55" s="66"/>
      <c r="AG55" s="66"/>
    </row>
    <row r="56" spans="1:34" ht="16.5" customHeight="1" x14ac:dyDescent="0.2">
      <c r="A56" s="52">
        <v>10</v>
      </c>
      <c r="B56" s="53" t="s">
        <v>72</v>
      </c>
      <c r="C56" s="54" t="s">
        <v>73</v>
      </c>
      <c r="D56" s="55"/>
      <c r="E56" s="56"/>
      <c r="F56" s="56"/>
      <c r="G56" s="57">
        <v>44.18</v>
      </c>
      <c r="H56" s="58">
        <f t="shared" ref="H56:H68" si="21">SUM(D56:G56)</f>
        <v>44.18</v>
      </c>
      <c r="I56" s="55"/>
      <c r="J56" s="56"/>
      <c r="K56" s="56"/>
      <c r="L56" s="57">
        <f>ROUND(G56*L23*1.005,2)</f>
        <v>682</v>
      </c>
      <c r="M56" s="58">
        <f t="shared" ref="M56:M58" si="22">SUM(I56:L56)</f>
        <v>682</v>
      </c>
      <c r="N56" s="55"/>
      <c r="O56" s="56"/>
      <c r="P56" s="56"/>
      <c r="Q56" s="57">
        <f>L56</f>
        <v>682</v>
      </c>
      <c r="R56" s="58">
        <f t="shared" ref="R56:R58" si="23">SUM(N56:Q56)</f>
        <v>682</v>
      </c>
      <c r="S56" s="59"/>
      <c r="T56" s="60">
        <f t="shared" ref="T56:T68" si="24">R56-S56</f>
        <v>682</v>
      </c>
      <c r="U56" s="61">
        <f t="shared" ref="U56:U67" si="25">T56*1.2</f>
        <v>818.4</v>
      </c>
      <c r="V56" s="58"/>
      <c r="W56" s="61"/>
      <c r="X56" s="64"/>
      <c r="Y56" s="61"/>
      <c r="Z56" s="58"/>
      <c r="AA56" s="61">
        <f>Q56</f>
        <v>682</v>
      </c>
      <c r="AB56" s="58">
        <f>AA56*1.2</f>
        <v>818.4</v>
      </c>
      <c r="AC56" s="65"/>
      <c r="AD56" s="66"/>
      <c r="AE56" s="66"/>
      <c r="AF56" s="66"/>
      <c r="AG56" s="66"/>
    </row>
    <row r="57" spans="1:34" ht="16.5" customHeight="1" x14ac:dyDescent="0.2">
      <c r="A57" s="52">
        <v>11</v>
      </c>
      <c r="B57" s="53" t="s">
        <v>74</v>
      </c>
      <c r="C57" s="54" t="s">
        <v>75</v>
      </c>
      <c r="D57" s="55"/>
      <c r="E57" s="56"/>
      <c r="F57" s="56"/>
      <c r="G57" s="57">
        <v>2.02</v>
      </c>
      <c r="H57" s="58">
        <f t="shared" si="21"/>
        <v>2.02</v>
      </c>
      <c r="I57" s="55"/>
      <c r="J57" s="56"/>
      <c r="K57" s="56"/>
      <c r="L57" s="57">
        <f>ROUND(G57*L23*1.005,2)</f>
        <v>31.18</v>
      </c>
      <c r="M57" s="58">
        <f t="shared" si="22"/>
        <v>31.18</v>
      </c>
      <c r="N57" s="55"/>
      <c r="O57" s="56"/>
      <c r="P57" s="56"/>
      <c r="Q57" s="57">
        <f>L57</f>
        <v>31.18</v>
      </c>
      <c r="R57" s="58">
        <f t="shared" si="23"/>
        <v>31.18</v>
      </c>
      <c r="S57" s="59"/>
      <c r="T57" s="60">
        <f t="shared" si="24"/>
        <v>31.18</v>
      </c>
      <c r="U57" s="61">
        <f t="shared" si="25"/>
        <v>37.415999999999997</v>
      </c>
      <c r="V57" s="58"/>
      <c r="W57" s="61"/>
      <c r="X57" s="58"/>
      <c r="Y57" s="81"/>
      <c r="Z57" s="58"/>
      <c r="AA57" s="61">
        <f>Q57</f>
        <v>31.18</v>
      </c>
      <c r="AB57" s="58">
        <f>AA57*1.2</f>
        <v>37.415999999999997</v>
      </c>
      <c r="AC57" s="65"/>
      <c r="AD57" s="66"/>
      <c r="AE57" s="66"/>
      <c r="AF57" s="66"/>
      <c r="AG57" s="66"/>
    </row>
    <row r="58" spans="1:34" ht="30" customHeight="1" x14ac:dyDescent="0.2">
      <c r="A58" s="52">
        <v>12</v>
      </c>
      <c r="B58" s="53" t="s">
        <v>76</v>
      </c>
      <c r="C58" s="54" t="s">
        <v>77</v>
      </c>
      <c r="D58" s="73">
        <f>ROUND(D54*2.21%,2)</f>
        <v>6634.23</v>
      </c>
      <c r="E58" s="57">
        <f>ROUND(E54*2.21%,2)</f>
        <v>0.24</v>
      </c>
      <c r="F58" s="56"/>
      <c r="G58" s="56"/>
      <c r="H58" s="58">
        <f t="shared" si="21"/>
        <v>6634.4699999999993</v>
      </c>
      <c r="I58" s="73">
        <f>ROUND(I54*2.21%,2)</f>
        <v>34137.089999999997</v>
      </c>
      <c r="J58" s="57">
        <f>ROUND(J54*2.21%,2)</f>
        <v>1.26</v>
      </c>
      <c r="K58" s="56"/>
      <c r="L58" s="56"/>
      <c r="M58" s="58">
        <f t="shared" si="22"/>
        <v>34138.35</v>
      </c>
      <c r="N58" s="73">
        <f>ROUND(N54*2.21%,2)</f>
        <v>33552.06</v>
      </c>
      <c r="O58" s="57">
        <f>ROUND(O54*2.21%,2)</f>
        <v>1.26</v>
      </c>
      <c r="P58" s="56"/>
      <c r="Q58" s="56"/>
      <c r="R58" s="58">
        <f t="shared" si="23"/>
        <v>33553.32</v>
      </c>
      <c r="S58" s="59"/>
      <c r="T58" s="156">
        <f>(T54-T42-T41-T40-T39-T36-T35-T43)*2.21%</f>
        <v>33553.314822496606</v>
      </c>
      <c r="U58" s="147">
        <f t="shared" si="25"/>
        <v>40263.977786995929</v>
      </c>
      <c r="V58" s="58"/>
      <c r="W58" s="148">
        <f>(W54-W42-W41-W40-W39-W36-W35-W43)*2.21%</f>
        <v>1182.1933109999998</v>
      </c>
      <c r="X58" s="149">
        <f t="shared" ref="X58:X59" si="26">W58*1.2</f>
        <v>1418.6319731999997</v>
      </c>
      <c r="Y58" s="150">
        <f>(Y54-Y42-Y41-Y40-Y39-Y36-Y35-Y43)*2.21%</f>
        <v>22659.784903347616</v>
      </c>
      <c r="Z58" s="149">
        <f t="shared" ref="Z58:Z59" si="27">Y58*1.2</f>
        <v>27191.741884017138</v>
      </c>
      <c r="AA58" s="151">
        <f>(AA54-AA42-AA41-AA40-AA39-AA36-AA35-AA43)*2.21%</f>
        <v>9711.3363871489819</v>
      </c>
      <c r="AB58" s="149">
        <f t="shared" ref="AB58:AB59" si="28">AA58*1.2</f>
        <v>11653.603664578777</v>
      </c>
      <c r="AC58" s="65"/>
      <c r="AD58" s="66"/>
      <c r="AE58" s="66"/>
      <c r="AF58" s="66"/>
      <c r="AG58" s="66"/>
    </row>
    <row r="59" spans="1:34" ht="24" customHeight="1" x14ac:dyDescent="0.2">
      <c r="A59" s="52">
        <v>13</v>
      </c>
      <c r="B59" s="53" t="s">
        <v>78</v>
      </c>
      <c r="C59" s="54" t="s">
        <v>79</v>
      </c>
      <c r="D59" s="73">
        <f>ROUND(D54*0.4%,2)</f>
        <v>1200.77</v>
      </c>
      <c r="E59" s="57">
        <f>ROUND(E54*0.4%,2)</f>
        <v>0.04</v>
      </c>
      <c r="F59" s="57"/>
      <c r="G59" s="56"/>
      <c r="H59" s="58">
        <f>SUM(D59:G59)</f>
        <v>1200.81</v>
      </c>
      <c r="I59" s="73">
        <f>ROUND(I54*0.4%,2)</f>
        <v>6178.66</v>
      </c>
      <c r="J59" s="57">
        <f>ROUND(J54*0.4%,2)</f>
        <v>0.23</v>
      </c>
      <c r="K59" s="57"/>
      <c r="L59" s="56"/>
      <c r="M59" s="58">
        <f>SUM(I59:L59)</f>
        <v>6178.8899999999994</v>
      </c>
      <c r="N59" s="73">
        <f>ROUND(N54*0.4%,2)</f>
        <v>6072.77</v>
      </c>
      <c r="O59" s="57">
        <f>ROUND(O54*0.4%,2)</f>
        <v>0.23</v>
      </c>
      <c r="P59" s="57"/>
      <c r="Q59" s="56"/>
      <c r="R59" s="58">
        <f>SUM(N59:Q59)</f>
        <v>6073</v>
      </c>
      <c r="S59" s="59"/>
      <c r="T59" s="156">
        <f>ROUND((T54-T42-T41-T40-T39-T36-T35-T43)*0.4%,2)</f>
        <v>6073</v>
      </c>
      <c r="U59" s="147">
        <f t="shared" si="25"/>
        <v>7287.5999999999995</v>
      </c>
      <c r="V59" s="58"/>
      <c r="W59" s="148">
        <f>ROUND((W54-W42-W41-W40-W39-W36-W35-W43)*0.4%,2)</f>
        <v>213.97</v>
      </c>
      <c r="X59" s="149">
        <f t="shared" si="26"/>
        <v>256.76400000000001</v>
      </c>
      <c r="Y59" s="150">
        <f>ROUND((Y48+Y52+S46*Y29)*0.4%,2)</f>
        <v>4101.32</v>
      </c>
      <c r="Z59" s="149">
        <f t="shared" si="27"/>
        <v>4921.5839999999998</v>
      </c>
      <c r="AA59" s="151">
        <f>ROUND((AA48+AA52+S46*AA29)*0.4%,2)</f>
        <v>1757.71</v>
      </c>
      <c r="AB59" s="157">
        <f t="shared" si="28"/>
        <v>2109.252</v>
      </c>
      <c r="AC59" s="65"/>
      <c r="AD59" s="66"/>
      <c r="AE59" s="66"/>
      <c r="AF59" s="66"/>
      <c r="AG59" s="66"/>
    </row>
    <row r="60" spans="1:34" ht="39" customHeight="1" x14ac:dyDescent="0.2">
      <c r="A60" s="52">
        <v>14</v>
      </c>
      <c r="B60" s="53" t="s">
        <v>80</v>
      </c>
      <c r="C60" s="54" t="s">
        <v>81</v>
      </c>
      <c r="D60" s="55"/>
      <c r="E60" s="56"/>
      <c r="F60" s="56"/>
      <c r="G60" s="57">
        <f>(D85+E85)*2.13%</f>
        <v>6758.0390789999992</v>
      </c>
      <c r="H60" s="58">
        <f t="shared" si="21"/>
        <v>6758.0390789999992</v>
      </c>
      <c r="I60" s="55"/>
      <c r="J60" s="56"/>
      <c r="K60" s="56"/>
      <c r="L60" s="57">
        <f>(I85+J85)*2.13%</f>
        <v>34774.167000000001</v>
      </c>
      <c r="M60" s="58">
        <f t="shared" ref="M60:M68" si="29">SUM(I60:L60)</f>
        <v>34774.167000000001</v>
      </c>
      <c r="N60" s="55"/>
      <c r="O60" s="56"/>
      <c r="P60" s="56"/>
      <c r="Q60" s="57"/>
      <c r="R60" s="58">
        <f t="shared" ref="R60:R68" si="30">SUM(N60:Q60)</f>
        <v>0</v>
      </c>
      <c r="S60" s="59"/>
      <c r="T60" s="60">
        <f t="shared" si="24"/>
        <v>0</v>
      </c>
      <c r="U60" s="61">
        <f t="shared" si="25"/>
        <v>0</v>
      </c>
      <c r="V60" s="58"/>
      <c r="W60" s="61"/>
      <c r="X60" s="58"/>
      <c r="Y60" s="81"/>
      <c r="Z60" s="58"/>
      <c r="AA60" s="73">
        <f>T60</f>
        <v>0</v>
      </c>
      <c r="AB60" s="58"/>
      <c r="AC60" s="65"/>
      <c r="AD60" s="66"/>
      <c r="AE60" s="66"/>
      <c r="AF60" s="66"/>
    </row>
    <row r="61" spans="1:34" ht="25.5" x14ac:dyDescent="0.2">
      <c r="A61" s="52">
        <v>15</v>
      </c>
      <c r="B61" s="53" t="s">
        <v>82</v>
      </c>
      <c r="C61" s="54" t="s">
        <v>83</v>
      </c>
      <c r="D61" s="55"/>
      <c r="E61" s="56"/>
      <c r="F61" s="56"/>
      <c r="G61" s="57">
        <f>ROUND(17099055/8.72/1000,2)</f>
        <v>1960.9</v>
      </c>
      <c r="H61" s="58">
        <f t="shared" si="21"/>
        <v>1960.9</v>
      </c>
      <c r="I61" s="55"/>
      <c r="J61" s="56"/>
      <c r="K61" s="56"/>
      <c r="L61" s="57">
        <v>17099.05</v>
      </c>
      <c r="M61" s="58">
        <f t="shared" si="29"/>
        <v>17099.05</v>
      </c>
      <c r="N61" s="55"/>
      <c r="O61" s="56"/>
      <c r="P61" s="56"/>
      <c r="Q61" s="57">
        <f>L61</f>
        <v>17099.05</v>
      </c>
      <c r="R61" s="58">
        <f t="shared" si="30"/>
        <v>17099.05</v>
      </c>
      <c r="S61" s="59"/>
      <c r="T61" s="60">
        <f t="shared" si="24"/>
        <v>17099.05</v>
      </c>
      <c r="U61" s="61">
        <f t="shared" si="25"/>
        <v>20518.859999999997</v>
      </c>
      <c r="V61" s="58"/>
      <c r="W61" s="61"/>
      <c r="X61" s="58"/>
      <c r="Y61" s="64">
        <f>T61*$Y$29</f>
        <v>11969.334999999999</v>
      </c>
      <c r="Z61" s="58">
        <f t="shared" ref="Z61:Z67" si="31">Y61*1.2</f>
        <v>14363.201999999999</v>
      </c>
      <c r="AA61" s="61">
        <f t="shared" ref="AA61:AA67" si="32">T61-Y61</f>
        <v>5129.7150000000001</v>
      </c>
      <c r="AB61" s="58">
        <f t="shared" ref="AB61:AB67" si="33">AA61*1.2</f>
        <v>6155.6580000000004</v>
      </c>
      <c r="AC61" s="65"/>
      <c r="AD61" s="66"/>
      <c r="AE61" s="66"/>
      <c r="AF61" s="66"/>
    </row>
    <row r="62" spans="1:34" ht="18" customHeight="1" x14ac:dyDescent="0.2">
      <c r="A62" s="52">
        <v>16</v>
      </c>
      <c r="B62" s="53" t="s">
        <v>84</v>
      </c>
      <c r="C62" s="54" t="s">
        <v>85</v>
      </c>
      <c r="D62" s="55"/>
      <c r="E62" s="56"/>
      <c r="F62" s="56"/>
      <c r="G62" s="57">
        <f>ROUND(6361200/8.72/1000,2)</f>
        <v>729.5</v>
      </c>
      <c r="H62" s="58">
        <f t="shared" si="21"/>
        <v>729.5</v>
      </c>
      <c r="I62" s="55"/>
      <c r="J62" s="56"/>
      <c r="K62" s="56"/>
      <c r="L62" s="57">
        <v>6361.2</v>
      </c>
      <c r="M62" s="58">
        <f t="shared" si="29"/>
        <v>6361.2</v>
      </c>
      <c r="N62" s="55"/>
      <c r="O62" s="56"/>
      <c r="P62" s="56"/>
      <c r="Q62" s="57">
        <f t="shared" ref="Q62:Q67" si="34">L62</f>
        <v>6361.2</v>
      </c>
      <c r="R62" s="58">
        <f t="shared" si="30"/>
        <v>6361.2</v>
      </c>
      <c r="S62" s="59"/>
      <c r="T62" s="60">
        <f t="shared" si="24"/>
        <v>6361.2</v>
      </c>
      <c r="U62" s="61">
        <f t="shared" si="25"/>
        <v>7633.44</v>
      </c>
      <c r="V62" s="58"/>
      <c r="W62" s="61"/>
      <c r="X62" s="58"/>
      <c r="Y62" s="57">
        <f>T62*$Y$29</f>
        <v>4452.8399999999992</v>
      </c>
      <c r="Z62" s="59">
        <f t="shared" si="31"/>
        <v>5343.4079999999985</v>
      </c>
      <c r="AA62" s="64">
        <f t="shared" si="32"/>
        <v>1908.3600000000006</v>
      </c>
      <c r="AB62" s="58">
        <f t="shared" si="33"/>
        <v>2290.0320000000006</v>
      </c>
      <c r="AC62" s="65"/>
      <c r="AD62" s="66"/>
      <c r="AE62" s="66"/>
      <c r="AF62" s="66"/>
    </row>
    <row r="63" spans="1:34" ht="26.25" customHeight="1" x14ac:dyDescent="0.2">
      <c r="A63" s="52">
        <v>17</v>
      </c>
      <c r="B63" s="53" t="s">
        <v>86</v>
      </c>
      <c r="C63" s="54" t="s">
        <v>87</v>
      </c>
      <c r="D63" s="55"/>
      <c r="E63" s="56"/>
      <c r="F63" s="56"/>
      <c r="G63" s="57">
        <f>ROUND(28832111/8.72/1000,2)</f>
        <v>3306.43</v>
      </c>
      <c r="H63" s="58">
        <f t="shared" si="21"/>
        <v>3306.43</v>
      </c>
      <c r="I63" s="55"/>
      <c r="J63" s="56"/>
      <c r="K63" s="56"/>
      <c r="L63" s="57">
        <v>28832.11</v>
      </c>
      <c r="M63" s="58">
        <f t="shared" si="29"/>
        <v>28832.11</v>
      </c>
      <c r="N63" s="55"/>
      <c r="O63" s="56"/>
      <c r="P63" s="56"/>
      <c r="Q63" s="57">
        <f t="shared" si="34"/>
        <v>28832.11</v>
      </c>
      <c r="R63" s="58">
        <f t="shared" si="30"/>
        <v>28832.11</v>
      </c>
      <c r="S63" s="59"/>
      <c r="T63" s="60">
        <f t="shared" si="24"/>
        <v>28832.11</v>
      </c>
      <c r="U63" s="61">
        <f t="shared" si="25"/>
        <v>34598.531999999999</v>
      </c>
      <c r="V63" s="58"/>
      <c r="W63" s="61"/>
      <c r="X63" s="58"/>
      <c r="Y63" s="57">
        <f>T63*$Y$29</f>
        <v>20182.476999999999</v>
      </c>
      <c r="Z63" s="59">
        <f t="shared" si="31"/>
        <v>24218.972399999999</v>
      </c>
      <c r="AA63" s="64">
        <f t="shared" si="32"/>
        <v>8649.6330000000016</v>
      </c>
      <c r="AB63" s="58">
        <f t="shared" si="33"/>
        <v>10379.559600000002</v>
      </c>
      <c r="AC63" s="65"/>
      <c r="AD63" s="66"/>
      <c r="AE63" s="66"/>
      <c r="AF63" s="66"/>
    </row>
    <row r="64" spans="1:34" ht="38.25" x14ac:dyDescent="0.2">
      <c r="A64" s="52">
        <v>18</v>
      </c>
      <c r="B64" s="53" t="s">
        <v>88</v>
      </c>
      <c r="C64" s="54" t="s">
        <v>89</v>
      </c>
      <c r="D64" s="55"/>
      <c r="E64" s="56"/>
      <c r="F64" s="56"/>
      <c r="G64" s="57">
        <f>ROUND(41234147/8.72/1000,2)</f>
        <v>4728.6899999999996</v>
      </c>
      <c r="H64" s="58">
        <f t="shared" si="21"/>
        <v>4728.6899999999996</v>
      </c>
      <c r="I64" s="55"/>
      <c r="J64" s="56"/>
      <c r="K64" s="56"/>
      <c r="L64" s="57">
        <v>41234.15</v>
      </c>
      <c r="M64" s="58">
        <f t="shared" si="29"/>
        <v>41234.15</v>
      </c>
      <c r="N64" s="55"/>
      <c r="O64" s="56"/>
      <c r="P64" s="56"/>
      <c r="Q64" s="57">
        <f t="shared" si="34"/>
        <v>41234.15</v>
      </c>
      <c r="R64" s="58">
        <f t="shared" si="30"/>
        <v>41234.15</v>
      </c>
      <c r="S64" s="59"/>
      <c r="T64" s="60">
        <f t="shared" si="24"/>
        <v>41234.15</v>
      </c>
      <c r="U64" s="61">
        <f t="shared" si="25"/>
        <v>49480.98</v>
      </c>
      <c r="V64" s="58"/>
      <c r="W64" s="61"/>
      <c r="X64" s="58"/>
      <c r="Y64" s="57">
        <f>T64*$Y$29</f>
        <v>28863.904999999999</v>
      </c>
      <c r="Z64" s="59">
        <f t="shared" si="31"/>
        <v>34636.685999999994</v>
      </c>
      <c r="AA64" s="64">
        <f t="shared" si="32"/>
        <v>12370.245000000003</v>
      </c>
      <c r="AB64" s="58">
        <f t="shared" si="33"/>
        <v>14844.294000000002</v>
      </c>
      <c r="AC64" s="65"/>
      <c r="AD64" s="66"/>
      <c r="AE64" s="66"/>
      <c r="AF64" s="66"/>
    </row>
    <row r="65" spans="1:33" ht="15.75" customHeight="1" x14ac:dyDescent="0.2">
      <c r="A65" s="52">
        <v>19</v>
      </c>
      <c r="B65" s="53" t="s">
        <v>90</v>
      </c>
      <c r="C65" s="54" t="s">
        <v>91</v>
      </c>
      <c r="D65" s="73"/>
      <c r="E65" s="56"/>
      <c r="F65" s="56"/>
      <c r="G65" s="158">
        <v>3036.33</v>
      </c>
      <c r="H65" s="58">
        <f t="shared" si="21"/>
        <v>3036.33</v>
      </c>
      <c r="I65" s="73"/>
      <c r="J65" s="56"/>
      <c r="K65" s="56"/>
      <c r="L65" s="56">
        <f>ROUND(G65*L27,2)</f>
        <v>26476.799999999999</v>
      </c>
      <c r="M65" s="58">
        <f t="shared" si="29"/>
        <v>26476.799999999999</v>
      </c>
      <c r="N65" s="73"/>
      <c r="O65" s="56"/>
      <c r="P65" s="56"/>
      <c r="Q65" s="57">
        <f t="shared" si="34"/>
        <v>26476.799999999999</v>
      </c>
      <c r="R65" s="58">
        <f t="shared" si="30"/>
        <v>26476.799999999999</v>
      </c>
      <c r="S65" s="59"/>
      <c r="T65" s="60">
        <f t="shared" si="24"/>
        <v>26476.799999999999</v>
      </c>
      <c r="U65" s="61">
        <f t="shared" si="25"/>
        <v>31772.159999999996</v>
      </c>
      <c r="V65" s="58"/>
      <c r="W65" s="61">
        <f>T65*45%</f>
        <v>11914.56</v>
      </c>
      <c r="X65" s="58">
        <f>W65*1.2</f>
        <v>14297.472</v>
      </c>
      <c r="Y65" s="80"/>
      <c r="Z65" s="59"/>
      <c r="AA65" s="81">
        <f>T65-W65</f>
        <v>14562.24</v>
      </c>
      <c r="AB65" s="58">
        <f t="shared" si="33"/>
        <v>17474.687999999998</v>
      </c>
      <c r="AC65" s="65"/>
      <c r="AD65" s="66"/>
      <c r="AE65" s="66"/>
      <c r="AF65" s="66"/>
    </row>
    <row r="66" spans="1:33" ht="27" customHeight="1" x14ac:dyDescent="0.2">
      <c r="A66" s="52">
        <v>20</v>
      </c>
      <c r="B66" s="53" t="s">
        <v>92</v>
      </c>
      <c r="C66" s="54" t="s">
        <v>93</v>
      </c>
      <c r="D66" s="55"/>
      <c r="E66" s="56"/>
      <c r="F66" s="56"/>
      <c r="G66" s="57">
        <v>1466.9</v>
      </c>
      <c r="H66" s="58">
        <f t="shared" si="21"/>
        <v>1466.9</v>
      </c>
      <c r="I66" s="55"/>
      <c r="J66" s="56"/>
      <c r="K66" s="56"/>
      <c r="L66" s="57">
        <f>ROUND(G66*L27,2)</f>
        <v>12791.37</v>
      </c>
      <c r="M66" s="58">
        <f t="shared" si="29"/>
        <v>12791.37</v>
      </c>
      <c r="N66" s="55"/>
      <c r="O66" s="56"/>
      <c r="P66" s="56"/>
      <c r="Q66" s="57">
        <f t="shared" si="34"/>
        <v>12791.37</v>
      </c>
      <c r="R66" s="58">
        <f t="shared" si="30"/>
        <v>12791.37</v>
      </c>
      <c r="S66" s="59"/>
      <c r="T66" s="60">
        <f t="shared" si="24"/>
        <v>12791.37</v>
      </c>
      <c r="U66" s="61">
        <f t="shared" si="25"/>
        <v>15349.644</v>
      </c>
      <c r="V66" s="58"/>
      <c r="W66" s="61"/>
      <c r="X66" s="58"/>
      <c r="Y66" s="80">
        <f>T66/2</f>
        <v>6395.6850000000004</v>
      </c>
      <c r="Z66" s="59">
        <f t="shared" si="31"/>
        <v>7674.8220000000001</v>
      </c>
      <c r="AA66" s="64">
        <f t="shared" si="32"/>
        <v>6395.6850000000004</v>
      </c>
      <c r="AB66" s="58">
        <f t="shared" si="33"/>
        <v>7674.8220000000001</v>
      </c>
      <c r="AC66" s="65"/>
      <c r="AD66" s="66"/>
      <c r="AE66" s="66"/>
      <c r="AF66" s="66"/>
    </row>
    <row r="67" spans="1:33" ht="30" customHeight="1" x14ac:dyDescent="0.2">
      <c r="A67" s="52">
        <v>21</v>
      </c>
      <c r="B67" s="53" t="s">
        <v>94</v>
      </c>
      <c r="C67" s="54" t="s">
        <v>95</v>
      </c>
      <c r="D67" s="55"/>
      <c r="E67" s="56"/>
      <c r="F67" s="56"/>
      <c r="G67" s="57">
        <f>L67/L27</f>
        <v>21.447855504587153</v>
      </c>
      <c r="H67" s="58">
        <f t="shared" si="21"/>
        <v>21.447855504587153</v>
      </c>
      <c r="I67" s="55"/>
      <c r="J67" s="56"/>
      <c r="K67" s="56"/>
      <c r="L67" s="57">
        <v>187.02529999999999</v>
      </c>
      <c r="M67" s="58">
        <f t="shared" si="29"/>
        <v>187.02529999999999</v>
      </c>
      <c r="N67" s="55"/>
      <c r="O67" s="56"/>
      <c r="P67" s="56"/>
      <c r="Q67" s="57">
        <f t="shared" si="34"/>
        <v>187.02529999999999</v>
      </c>
      <c r="R67" s="58">
        <f t="shared" si="30"/>
        <v>187.02529999999999</v>
      </c>
      <c r="S67" s="59"/>
      <c r="T67" s="60">
        <f t="shared" si="24"/>
        <v>187.02529999999999</v>
      </c>
      <c r="U67" s="61">
        <f t="shared" si="25"/>
        <v>224.43035999999998</v>
      </c>
      <c r="V67" s="58"/>
      <c r="W67" s="61"/>
      <c r="X67" s="58"/>
      <c r="Y67" s="80">
        <f>T67/2</f>
        <v>93.512649999999994</v>
      </c>
      <c r="Z67" s="59">
        <f t="shared" si="31"/>
        <v>112.21517999999999</v>
      </c>
      <c r="AA67" s="64">
        <f t="shared" si="32"/>
        <v>93.512649999999994</v>
      </c>
      <c r="AB67" s="58">
        <f t="shared" si="33"/>
        <v>112.21517999999999</v>
      </c>
      <c r="AC67" s="65"/>
      <c r="AD67" s="66"/>
      <c r="AE67" s="66"/>
      <c r="AF67" s="66"/>
    </row>
    <row r="68" spans="1:33" ht="31.5" customHeight="1" x14ac:dyDescent="0.2">
      <c r="A68" s="52">
        <v>22</v>
      </c>
      <c r="B68" s="53" t="s">
        <v>96</v>
      </c>
      <c r="C68" s="54" t="s">
        <v>97</v>
      </c>
      <c r="D68" s="55"/>
      <c r="E68" s="56"/>
      <c r="F68" s="56"/>
      <c r="G68" s="57">
        <f>L68/L27</f>
        <v>2545.2917382599903</v>
      </c>
      <c r="H68" s="58">
        <f t="shared" si="21"/>
        <v>2545.2917382599903</v>
      </c>
      <c r="I68" s="55"/>
      <c r="J68" s="56"/>
      <c r="K68" s="56"/>
      <c r="L68" s="57">
        <f>26190.03387/1.18</f>
        <v>22194.943957627118</v>
      </c>
      <c r="M68" s="58">
        <f t="shared" si="29"/>
        <v>22194.943957627118</v>
      </c>
      <c r="N68" s="55"/>
      <c r="O68" s="56"/>
      <c r="P68" s="56"/>
      <c r="Q68" s="57">
        <f>26190.03387/1.18</f>
        <v>22194.943957627118</v>
      </c>
      <c r="R68" s="58">
        <f t="shared" si="30"/>
        <v>22194.943957627118</v>
      </c>
      <c r="S68" s="59"/>
      <c r="T68" s="60">
        <f t="shared" si="24"/>
        <v>22194.943957627118</v>
      </c>
      <c r="U68" s="115">
        <v>3062.9022691525388</v>
      </c>
      <c r="V68" s="58"/>
      <c r="W68" s="61"/>
      <c r="X68" s="58"/>
      <c r="Y68" s="80"/>
      <c r="Z68" s="59"/>
      <c r="AA68" s="81">
        <f>T68</f>
        <v>22194.943957627118</v>
      </c>
      <c r="AB68" s="248">
        <f>U68</f>
        <v>3062.9022691525388</v>
      </c>
      <c r="AC68" s="247"/>
      <c r="AD68" s="66"/>
      <c r="AE68" s="66"/>
      <c r="AF68" s="66"/>
    </row>
    <row r="69" spans="1:33" s="106" customFormat="1" ht="14.25" x14ac:dyDescent="0.2">
      <c r="A69" s="127"/>
      <c r="B69" s="301" t="s">
        <v>98</v>
      </c>
      <c r="C69" s="302"/>
      <c r="D69" s="128">
        <f>SUM(D56:D68)</f>
        <v>7835</v>
      </c>
      <c r="E69" s="129">
        <f>SUM(E56:E68)</f>
        <v>0.27999999999999997</v>
      </c>
      <c r="F69" s="129">
        <f>SUM(F56:F68)</f>
        <v>0</v>
      </c>
      <c r="G69" s="129">
        <f>SUM(G56:G68)</f>
        <v>24599.728672764577</v>
      </c>
      <c r="H69" s="130">
        <f>SUM(D69:G69)</f>
        <v>32435.008672764576</v>
      </c>
      <c r="I69" s="128">
        <f>SUM(I56:I68)</f>
        <v>40315.75</v>
      </c>
      <c r="J69" s="129">
        <f>SUM(J56:J68)</f>
        <v>1.49</v>
      </c>
      <c r="K69" s="129">
        <f>SUM(K56:K68)</f>
        <v>0</v>
      </c>
      <c r="L69" s="129">
        <f>SUM(L56:L68)</f>
        <v>190663.99625762709</v>
      </c>
      <c r="M69" s="130">
        <f>SUM(I69:L69)</f>
        <v>230981.23625762708</v>
      </c>
      <c r="N69" s="128">
        <f>SUM(N56:N68)</f>
        <v>39624.83</v>
      </c>
      <c r="O69" s="129">
        <f>SUM(O56:O68)</f>
        <v>1.49</v>
      </c>
      <c r="P69" s="129">
        <f>SUM(P56:P68)</f>
        <v>0</v>
      </c>
      <c r="Q69" s="129">
        <f>SUM(Q56:Q68)</f>
        <v>155889.82925762713</v>
      </c>
      <c r="R69" s="130">
        <f>SUM(N69:Q69)</f>
        <v>195516.14925762714</v>
      </c>
      <c r="S69" s="131">
        <f>SUM(S56:S68)</f>
        <v>0</v>
      </c>
      <c r="T69" s="132">
        <f>SUM(T56:T68)</f>
        <v>195516.14408012372</v>
      </c>
      <c r="U69" s="133">
        <f>SUM(U56:U68)</f>
        <v>211048.34241614849</v>
      </c>
      <c r="V69" s="130">
        <f t="shared" ref="V69:Y69" si="35">SUM(V56:V68)</f>
        <v>0</v>
      </c>
      <c r="W69" s="133">
        <f t="shared" si="35"/>
        <v>13310.723311</v>
      </c>
      <c r="X69" s="130">
        <f t="shared" si="35"/>
        <v>15972.8679732</v>
      </c>
      <c r="Y69" s="159">
        <f t="shared" si="35"/>
        <v>98718.859553347618</v>
      </c>
      <c r="Z69" s="160">
        <f>SUM(Z56:Z68)</f>
        <v>118462.63146401713</v>
      </c>
      <c r="AA69" s="135">
        <f t="shared" ref="AA69:AB69" si="36">SUM(AA56:AA68)</f>
        <v>83486.560994776097</v>
      </c>
      <c r="AB69" s="130">
        <f t="shared" si="36"/>
        <v>76612.842713731312</v>
      </c>
      <c r="AC69" s="65"/>
      <c r="AD69" s="66"/>
      <c r="AE69" s="66"/>
      <c r="AF69" s="66"/>
    </row>
    <row r="70" spans="1:33" s="106" customFormat="1" ht="14.25" x14ac:dyDescent="0.2">
      <c r="A70" s="127"/>
      <c r="B70" s="301" t="s">
        <v>99</v>
      </c>
      <c r="C70" s="302"/>
      <c r="D70" s="128">
        <f>D54+D69</f>
        <v>308026.34999999998</v>
      </c>
      <c r="E70" s="129">
        <f>E54+E69</f>
        <v>11.35</v>
      </c>
      <c r="F70" s="129">
        <f>F54+F69</f>
        <v>0</v>
      </c>
      <c r="G70" s="129">
        <f>G54+G69</f>
        <v>28925.704089048981</v>
      </c>
      <c r="H70" s="130">
        <f>SUM(D70:G70)</f>
        <v>336963.40408904891</v>
      </c>
      <c r="I70" s="128">
        <f>I54+I69</f>
        <v>1584980.37</v>
      </c>
      <c r="J70" s="129">
        <f>J54+J69</f>
        <v>58.47</v>
      </c>
      <c r="K70" s="129">
        <f>K54+K69</f>
        <v>0</v>
      </c>
      <c r="L70" s="129">
        <f>L54+L69</f>
        <v>221407.92868762708</v>
      </c>
      <c r="M70" s="130">
        <f>SUM(I70:L70)</f>
        <v>1806446.7686876273</v>
      </c>
      <c r="N70" s="128">
        <f>N54+N69</f>
        <v>1557817.3894794844</v>
      </c>
      <c r="O70" s="129">
        <f>O54+O69</f>
        <v>58.47</v>
      </c>
      <c r="P70" s="129">
        <f>P54+P69</f>
        <v>0</v>
      </c>
      <c r="Q70" s="129">
        <f>Q54+Q69</f>
        <v>202308.97909664625</v>
      </c>
      <c r="R70" s="130">
        <f>SUM(N70:Q70)</f>
        <v>1760184.8385761306</v>
      </c>
      <c r="S70" s="131">
        <f>S54+S69</f>
        <v>0</v>
      </c>
      <c r="T70" s="132">
        <f>T54+T69</f>
        <v>1760184.8333986271</v>
      </c>
      <c r="U70" s="133">
        <f>U54+U69</f>
        <v>1220150.8295503526</v>
      </c>
      <c r="V70" s="130">
        <f t="shared" ref="V70:AB70" si="37">V54+V69</f>
        <v>0</v>
      </c>
      <c r="W70" s="133">
        <f t="shared" si="37"/>
        <v>94740.806040999989</v>
      </c>
      <c r="X70" s="130">
        <f t="shared" si="37"/>
        <v>113688.96724920001</v>
      </c>
      <c r="Y70" s="159">
        <f t="shared" si="37"/>
        <v>1131546.3169850395</v>
      </c>
      <c r="Z70" s="160">
        <f t="shared" si="37"/>
        <v>749905.62234844745</v>
      </c>
      <c r="AA70" s="135">
        <f t="shared" si="37"/>
        <v>533897.7001515876</v>
      </c>
      <c r="AB70" s="130">
        <f t="shared" si="37"/>
        <v>356556.22768750507</v>
      </c>
      <c r="AC70" s="65"/>
      <c r="AD70" s="66"/>
      <c r="AE70" s="66"/>
      <c r="AF70" s="66"/>
    </row>
    <row r="71" spans="1:33" ht="18" customHeight="1" x14ac:dyDescent="0.2">
      <c r="A71" s="293" t="s">
        <v>100</v>
      </c>
      <c r="B71" s="294"/>
      <c r="C71" s="294"/>
      <c r="D71" s="136"/>
      <c r="E71" s="137"/>
      <c r="F71" s="137"/>
      <c r="G71" s="137"/>
      <c r="H71" s="138"/>
      <c r="I71" s="136"/>
      <c r="J71" s="137"/>
      <c r="K71" s="137"/>
      <c r="L71" s="137"/>
      <c r="M71" s="138"/>
      <c r="N71" s="136"/>
      <c r="O71" s="137"/>
      <c r="P71" s="137"/>
      <c r="Q71" s="137"/>
      <c r="R71" s="138"/>
      <c r="S71" s="138"/>
      <c r="T71" s="139"/>
      <c r="U71" s="136"/>
      <c r="V71" s="140"/>
      <c r="W71" s="136"/>
      <c r="X71" s="140"/>
      <c r="Y71" s="161"/>
      <c r="Z71" s="138"/>
      <c r="AA71" s="137"/>
      <c r="AB71" s="140"/>
      <c r="AC71" s="65"/>
      <c r="AD71" s="66"/>
      <c r="AE71" s="66"/>
      <c r="AF71" s="66"/>
    </row>
    <row r="72" spans="1:33" ht="40.5" customHeight="1" x14ac:dyDescent="0.2">
      <c r="A72" s="52">
        <v>23</v>
      </c>
      <c r="B72" s="53" t="s">
        <v>101</v>
      </c>
      <c r="C72" s="54" t="s">
        <v>102</v>
      </c>
      <c r="D72" s="55"/>
      <c r="E72" s="56"/>
      <c r="F72" s="56"/>
      <c r="G72" s="57">
        <f>ROUND(H70*1.28%,2)</f>
        <v>4313.13</v>
      </c>
      <c r="H72" s="58">
        <f>SUM(D72:G72)</f>
        <v>4313.13</v>
      </c>
      <c r="I72" s="55"/>
      <c r="J72" s="56"/>
      <c r="K72" s="56"/>
      <c r="L72" s="57">
        <f>ROUND(M70*1.28%,2)</f>
        <v>23122.52</v>
      </c>
      <c r="M72" s="58">
        <f>SUM(I72:L72)</f>
        <v>23122.52</v>
      </c>
      <c r="N72" s="55"/>
      <c r="O72" s="56"/>
      <c r="P72" s="56"/>
      <c r="Q72" s="57">
        <f>ROUND(R70*1.28%,2)</f>
        <v>22530.37</v>
      </c>
      <c r="R72" s="58">
        <f>SUM(N72:Q72)</f>
        <v>22530.37</v>
      </c>
      <c r="S72" s="59">
        <v>1959.5230799999999</v>
      </c>
      <c r="T72" s="146">
        <f>ROUND((T70)*1.28%,2)-S72</f>
        <v>20570.84692</v>
      </c>
      <c r="U72" s="61">
        <f>T72*1.2</f>
        <v>24685.016304000001</v>
      </c>
      <c r="V72" s="58"/>
      <c r="W72" s="162">
        <f>ROUND(W70*1.28%,2)</f>
        <v>1212.68</v>
      </c>
      <c r="X72" s="58">
        <f>W72*1.2</f>
        <v>1455.2160000000001</v>
      </c>
      <c r="Y72" s="162">
        <f>ROUND(Y70*1.28%,2)</f>
        <v>14483.79</v>
      </c>
      <c r="Z72" s="58">
        <f>Y72*1.2</f>
        <v>17380.547999999999</v>
      </c>
      <c r="AA72" s="162">
        <f>T72-W72-Y72</f>
        <v>4874.3769199999988</v>
      </c>
      <c r="AB72" s="58">
        <f>AA72*1.2</f>
        <v>5849.2523039999987</v>
      </c>
      <c r="AC72" s="65"/>
      <c r="AD72" s="66"/>
      <c r="AE72" s="66"/>
      <c r="AF72" s="66"/>
    </row>
    <row r="73" spans="1:33" s="106" customFormat="1" ht="18" customHeight="1" x14ac:dyDescent="0.2">
      <c r="A73" s="127"/>
      <c r="B73" s="301" t="s">
        <v>103</v>
      </c>
      <c r="C73" s="302"/>
      <c r="D73" s="163"/>
      <c r="E73" s="152"/>
      <c r="F73" s="152"/>
      <c r="G73" s="129">
        <f>G72</f>
        <v>4313.13</v>
      </c>
      <c r="H73" s="130">
        <f>SUM(D73:G73)</f>
        <v>4313.13</v>
      </c>
      <c r="I73" s="163"/>
      <c r="J73" s="152"/>
      <c r="K73" s="152"/>
      <c r="L73" s="129">
        <f>L72</f>
        <v>23122.52</v>
      </c>
      <c r="M73" s="130">
        <f>SUM(I73:L73)</f>
        <v>23122.52</v>
      </c>
      <c r="N73" s="163"/>
      <c r="O73" s="152"/>
      <c r="P73" s="152"/>
      <c r="Q73" s="129">
        <f>Q72</f>
        <v>22530.37</v>
      </c>
      <c r="R73" s="130">
        <f>SUM(N73:Q73)</f>
        <v>22530.37</v>
      </c>
      <c r="S73" s="131">
        <f>S72</f>
        <v>1959.5230799999999</v>
      </c>
      <c r="T73" s="132">
        <f>T72</f>
        <v>20570.84692</v>
      </c>
      <c r="U73" s="133">
        <f>U72</f>
        <v>24685.016304000001</v>
      </c>
      <c r="V73" s="130">
        <f>V72</f>
        <v>0</v>
      </c>
      <c r="W73" s="133">
        <f t="shared" ref="W73:AB73" si="38">W72</f>
        <v>1212.68</v>
      </c>
      <c r="X73" s="130">
        <f t="shared" si="38"/>
        <v>1455.2160000000001</v>
      </c>
      <c r="Y73" s="159">
        <f t="shared" si="38"/>
        <v>14483.79</v>
      </c>
      <c r="Z73" s="160">
        <f t="shared" si="38"/>
        <v>17380.547999999999</v>
      </c>
      <c r="AA73" s="135">
        <f>AA72</f>
        <v>4874.3769199999988</v>
      </c>
      <c r="AB73" s="130">
        <f t="shared" si="38"/>
        <v>5849.2523039999987</v>
      </c>
      <c r="AC73" s="65"/>
      <c r="AD73" s="66"/>
      <c r="AE73" s="66"/>
      <c r="AF73" s="66"/>
      <c r="AG73" s="164">
        <f>AF73*3%</f>
        <v>0</v>
      </c>
    </row>
    <row r="74" spans="1:33" ht="18" customHeight="1" x14ac:dyDescent="0.2">
      <c r="A74" s="293" t="s">
        <v>104</v>
      </c>
      <c r="B74" s="294"/>
      <c r="C74" s="294"/>
      <c r="D74" s="136"/>
      <c r="E74" s="137"/>
      <c r="F74" s="137"/>
      <c r="G74" s="137"/>
      <c r="H74" s="138"/>
      <c r="I74" s="136"/>
      <c r="J74" s="137"/>
      <c r="K74" s="137"/>
      <c r="L74" s="137"/>
      <c r="M74" s="138"/>
      <c r="N74" s="136"/>
      <c r="O74" s="137"/>
      <c r="P74" s="137"/>
      <c r="Q74" s="137"/>
      <c r="R74" s="138"/>
      <c r="S74" s="138"/>
      <c r="T74" s="139"/>
      <c r="U74" s="136"/>
      <c r="V74" s="140"/>
      <c r="W74" s="136"/>
      <c r="X74" s="140"/>
      <c r="Y74" s="161"/>
      <c r="Z74" s="138"/>
      <c r="AA74" s="137"/>
      <c r="AB74" s="140"/>
      <c r="AC74" s="65"/>
      <c r="AD74" s="66"/>
      <c r="AE74" s="66"/>
      <c r="AF74" s="66"/>
    </row>
    <row r="75" spans="1:33" ht="39.75" customHeight="1" x14ac:dyDescent="0.2">
      <c r="A75" s="52">
        <v>24</v>
      </c>
      <c r="B75" s="53" t="s">
        <v>105</v>
      </c>
      <c r="C75" s="54" t="s">
        <v>106</v>
      </c>
      <c r="D75" s="55"/>
      <c r="E75" s="56"/>
      <c r="F75" s="56"/>
      <c r="G75" s="57">
        <v>9143.77</v>
      </c>
      <c r="H75" s="58">
        <f>SUM(D75:G75)</f>
        <v>9143.77</v>
      </c>
      <c r="I75" s="55"/>
      <c r="J75" s="56"/>
      <c r="K75" s="56"/>
      <c r="L75" s="57">
        <f>35843598.04/1000</f>
        <v>35843.598039999997</v>
      </c>
      <c r="M75" s="58">
        <f>SUM(I75:L75)</f>
        <v>35843.598039999997</v>
      </c>
      <c r="N75" s="55"/>
      <c r="O75" s="56"/>
      <c r="P75" s="56"/>
      <c r="Q75" s="57">
        <f>35843598.04/1000</f>
        <v>35843.598039999997</v>
      </c>
      <c r="R75" s="58">
        <f>SUM(N75:Q75)</f>
        <v>35843.598039999997</v>
      </c>
      <c r="S75" s="165">
        <f>R75</f>
        <v>35843.598039999997</v>
      </c>
      <c r="T75" s="60">
        <f t="shared" ref="T75:T77" si="39">R75-S75</f>
        <v>0</v>
      </c>
      <c r="U75" s="61">
        <f t="shared" ref="U75:U77" si="40">T75*1.2</f>
        <v>0</v>
      </c>
      <c r="V75" s="58"/>
      <c r="W75" s="61"/>
      <c r="X75" s="58"/>
      <c r="Y75" s="80"/>
      <c r="Z75" s="59"/>
      <c r="AA75" s="81"/>
      <c r="AB75" s="58"/>
      <c r="AC75" s="65"/>
      <c r="AD75" s="66"/>
      <c r="AE75" s="66"/>
      <c r="AF75" s="66"/>
    </row>
    <row r="76" spans="1:33" ht="39.75" customHeight="1" x14ac:dyDescent="0.2">
      <c r="A76" s="52">
        <v>25</v>
      </c>
      <c r="B76" s="53" t="s">
        <v>105</v>
      </c>
      <c r="C76" s="54" t="s">
        <v>107</v>
      </c>
      <c r="D76" s="55"/>
      <c r="E76" s="56"/>
      <c r="F76" s="56"/>
      <c r="G76" s="57">
        <v>5980.67</v>
      </c>
      <c r="H76" s="58">
        <f t="shared" ref="H76:H79" si="41">SUM(D76:G76)</f>
        <v>5980.67</v>
      </c>
      <c r="I76" s="55"/>
      <c r="J76" s="56"/>
      <c r="K76" s="56"/>
      <c r="L76" s="57">
        <f>23504042.88/1000</f>
        <v>23504.042879999997</v>
      </c>
      <c r="M76" s="58">
        <f t="shared" ref="M76:M81" si="42">SUM(I76:L76)</f>
        <v>23504.042879999997</v>
      </c>
      <c r="N76" s="55"/>
      <c r="O76" s="56"/>
      <c r="P76" s="56"/>
      <c r="Q76" s="57">
        <f>23504042.88/1000</f>
        <v>23504.042879999997</v>
      </c>
      <c r="R76" s="58">
        <f t="shared" ref="R76:R81" si="43">SUM(N76:Q76)</f>
        <v>23504.042879999997</v>
      </c>
      <c r="S76" s="59">
        <f>R76</f>
        <v>23504.042879999997</v>
      </c>
      <c r="T76" s="60">
        <f t="shared" si="39"/>
        <v>0</v>
      </c>
      <c r="U76" s="61">
        <f t="shared" si="40"/>
        <v>0</v>
      </c>
      <c r="V76" s="58"/>
      <c r="W76" s="61"/>
      <c r="X76" s="58"/>
      <c r="Y76" s="80"/>
      <c r="Z76" s="59"/>
      <c r="AA76" s="81"/>
      <c r="AB76" s="58"/>
      <c r="AC76" s="65"/>
      <c r="AD76" s="66"/>
      <c r="AE76" s="66"/>
      <c r="AF76" s="66"/>
    </row>
    <row r="77" spans="1:33" ht="39.75" customHeight="1" x14ac:dyDescent="0.2">
      <c r="A77" s="52">
        <v>26</v>
      </c>
      <c r="B77" s="53" t="s">
        <v>105</v>
      </c>
      <c r="C77" s="54" t="s">
        <v>108</v>
      </c>
      <c r="D77" s="55"/>
      <c r="E77" s="56"/>
      <c r="F77" s="56"/>
      <c r="G77" s="57">
        <f>1935450.36/3.92/1000</f>
        <v>493.73733673469388</v>
      </c>
      <c r="H77" s="58">
        <f t="shared" si="41"/>
        <v>493.73733673469388</v>
      </c>
      <c r="I77" s="55"/>
      <c r="J77" s="56"/>
      <c r="K77" s="56"/>
      <c r="L77" s="57">
        <f>1935450.36/1000</f>
        <v>1935.45036</v>
      </c>
      <c r="M77" s="58">
        <f t="shared" si="42"/>
        <v>1935.45036</v>
      </c>
      <c r="N77" s="55"/>
      <c r="O77" s="56"/>
      <c r="P77" s="56"/>
      <c r="Q77" s="57">
        <f>1935450.36/1000</f>
        <v>1935.45036</v>
      </c>
      <c r="R77" s="58">
        <f t="shared" si="43"/>
        <v>1935.45036</v>
      </c>
      <c r="S77" s="59">
        <v>1935.4491500000004</v>
      </c>
      <c r="T77" s="60">
        <f t="shared" si="39"/>
        <v>1.2099999996735278E-3</v>
      </c>
      <c r="U77" s="61">
        <f t="shared" si="40"/>
        <v>1.4519999996082333E-3</v>
      </c>
      <c r="V77" s="58"/>
      <c r="W77" s="61"/>
      <c r="X77" s="58"/>
      <c r="Y77" s="80"/>
      <c r="Z77" s="59"/>
      <c r="AA77" s="81"/>
      <c r="AB77" s="58"/>
      <c r="AC77" s="65"/>
      <c r="AD77" s="66"/>
      <c r="AE77" s="66"/>
      <c r="AF77" s="66"/>
    </row>
    <row r="78" spans="1:33" ht="29.25" customHeight="1" x14ac:dyDescent="0.2">
      <c r="A78" s="52">
        <v>27</v>
      </c>
      <c r="B78" s="53" t="s">
        <v>109</v>
      </c>
      <c r="C78" s="54" t="s">
        <v>110</v>
      </c>
      <c r="D78" s="55"/>
      <c r="E78" s="56"/>
      <c r="F78" s="56"/>
      <c r="G78" s="57">
        <f>ROUND(H70*0.2%,2)</f>
        <v>673.93</v>
      </c>
      <c r="H78" s="58">
        <f t="shared" si="41"/>
        <v>673.93</v>
      </c>
      <c r="I78" s="55"/>
      <c r="J78" s="56"/>
      <c r="K78" s="56"/>
      <c r="L78" s="57">
        <f>ROUND(M70*0.2%,2)</f>
        <v>3612.89</v>
      </c>
      <c r="M78" s="58">
        <f t="shared" si="42"/>
        <v>3612.89</v>
      </c>
      <c r="N78" s="55"/>
      <c r="O78" s="56"/>
      <c r="P78" s="56"/>
      <c r="Q78" s="57">
        <f>ROUND(R70*0.2%,2)</f>
        <v>3520.37</v>
      </c>
      <c r="R78" s="58">
        <f t="shared" si="43"/>
        <v>3520.37</v>
      </c>
      <c r="S78" s="59"/>
      <c r="T78" s="156">
        <f>ROUND((T70)*0.2%,2)</f>
        <v>3520.37</v>
      </c>
      <c r="U78" s="61">
        <f>T78*1.2</f>
        <v>4224.4439999999995</v>
      </c>
      <c r="V78" s="58"/>
      <c r="W78" s="148">
        <f>ROUND(W70*0.2%,2)</f>
        <v>189.48</v>
      </c>
      <c r="X78" s="58">
        <f>W78*1.2</f>
        <v>227.37599999999998</v>
      </c>
      <c r="Y78" s="148">
        <f>ROUND(Y70*0.2%,2)</f>
        <v>2263.09</v>
      </c>
      <c r="Z78" s="63">
        <f>Y78*1.2</f>
        <v>2715.7080000000001</v>
      </c>
      <c r="AA78" s="148">
        <f>ROUND(AA70*0.2%,2)</f>
        <v>1067.8</v>
      </c>
      <c r="AB78" s="58">
        <f>AA78*1.2</f>
        <v>1281.3599999999999</v>
      </c>
      <c r="AC78" s="65"/>
      <c r="AD78" s="66"/>
      <c r="AE78" s="66"/>
      <c r="AF78" s="66"/>
    </row>
    <row r="79" spans="1:33" ht="53.25" customHeight="1" x14ac:dyDescent="0.2">
      <c r="A79" s="52">
        <v>28</v>
      </c>
      <c r="B79" s="53" t="s">
        <v>111</v>
      </c>
      <c r="C79" s="54" t="s">
        <v>112</v>
      </c>
      <c r="D79" s="166"/>
      <c r="E79" s="167"/>
      <c r="F79" s="167"/>
      <c r="G79" s="57">
        <f>ROUND((G75+G76)*0.58%,2)</f>
        <v>87.72</v>
      </c>
      <c r="H79" s="58">
        <f t="shared" si="41"/>
        <v>87.72</v>
      </c>
      <c r="I79" s="166"/>
      <c r="J79" s="167"/>
      <c r="K79" s="167"/>
      <c r="L79" s="57">
        <f>ROUND((L75+L76)*0.58%,2)</f>
        <v>344.22</v>
      </c>
      <c r="M79" s="58">
        <f t="shared" si="42"/>
        <v>344.22</v>
      </c>
      <c r="N79" s="166"/>
      <c r="O79" s="167"/>
      <c r="P79" s="167"/>
      <c r="Q79" s="57">
        <f>ROUND((Q75+Q76)*0.58%,2)</f>
        <v>344.22</v>
      </c>
      <c r="R79" s="58">
        <f t="shared" si="43"/>
        <v>344.22</v>
      </c>
      <c r="S79" s="59"/>
      <c r="T79" s="60">
        <f>R79-S79</f>
        <v>344.22</v>
      </c>
      <c r="U79" s="61">
        <f>T79*1.2</f>
        <v>413.06400000000002</v>
      </c>
      <c r="V79" s="58"/>
      <c r="W79" s="61">
        <f>T79</f>
        <v>344.22</v>
      </c>
      <c r="X79" s="58">
        <f>W79*1.2</f>
        <v>413.06400000000002</v>
      </c>
      <c r="Y79" s="80"/>
      <c r="Z79" s="59"/>
      <c r="AA79" s="81"/>
      <c r="AB79" s="58">
        <f>AA79*1.2</f>
        <v>0</v>
      </c>
      <c r="AC79" s="65"/>
      <c r="AD79" s="66"/>
      <c r="AE79" s="66"/>
      <c r="AF79" s="66"/>
    </row>
    <row r="80" spans="1:33" s="106" customFormat="1" ht="17.25" customHeight="1" x14ac:dyDescent="0.2">
      <c r="A80" s="127"/>
      <c r="B80" s="301" t="s">
        <v>113</v>
      </c>
      <c r="C80" s="302"/>
      <c r="D80" s="163"/>
      <c r="E80" s="152"/>
      <c r="F80" s="152"/>
      <c r="G80" s="129">
        <f>SUM(G75:G79)</f>
        <v>16379.827336734694</v>
      </c>
      <c r="H80" s="130">
        <f>SUM(D80:G80)</f>
        <v>16379.827336734694</v>
      </c>
      <c r="I80" s="163"/>
      <c r="J80" s="152"/>
      <c r="K80" s="152"/>
      <c r="L80" s="129">
        <f>SUM(L75:L79)</f>
        <v>65240.201279999994</v>
      </c>
      <c r="M80" s="130">
        <f t="shared" si="42"/>
        <v>65240.201279999994</v>
      </c>
      <c r="N80" s="163"/>
      <c r="O80" s="152"/>
      <c r="P80" s="152"/>
      <c r="Q80" s="129">
        <f>SUM(Q75:Q79)</f>
        <v>65147.681279999997</v>
      </c>
      <c r="R80" s="130">
        <f t="shared" si="43"/>
        <v>65147.681279999997</v>
      </c>
      <c r="S80" s="131">
        <f>SUM(S75:S79)</f>
        <v>61283.090069999991</v>
      </c>
      <c r="T80" s="132">
        <f>SUM(T75:T79)</f>
        <v>3864.5912099999996</v>
      </c>
      <c r="U80" s="133">
        <f>SUM(U75:U79)</f>
        <v>4637.5094519999993</v>
      </c>
      <c r="V80" s="130">
        <f t="shared" ref="V80:AB80" si="44">SUM(V75:V79)</f>
        <v>0</v>
      </c>
      <c r="W80" s="133">
        <f t="shared" si="44"/>
        <v>533.70000000000005</v>
      </c>
      <c r="X80" s="130">
        <f t="shared" si="44"/>
        <v>640.44000000000005</v>
      </c>
      <c r="Y80" s="159">
        <f t="shared" si="44"/>
        <v>2263.09</v>
      </c>
      <c r="Z80" s="160">
        <f t="shared" si="44"/>
        <v>2715.7080000000001</v>
      </c>
      <c r="AA80" s="135">
        <f t="shared" si="44"/>
        <v>1067.8</v>
      </c>
      <c r="AB80" s="130">
        <f t="shared" si="44"/>
        <v>1281.3599999999999</v>
      </c>
      <c r="AC80" s="65"/>
      <c r="AD80" s="66"/>
      <c r="AE80" s="66"/>
      <c r="AF80" s="66"/>
    </row>
    <row r="81" spans="1:32" s="106" customFormat="1" ht="14.25" x14ac:dyDescent="0.2">
      <c r="A81" s="127"/>
      <c r="B81" s="301" t="s">
        <v>114</v>
      </c>
      <c r="C81" s="302"/>
      <c r="D81" s="128">
        <f>D70+D73+D80</f>
        <v>308026.34999999998</v>
      </c>
      <c r="E81" s="129">
        <f>E70+E73+E80</f>
        <v>11.35</v>
      </c>
      <c r="F81" s="129">
        <f>F70+F73+F80</f>
        <v>0</v>
      </c>
      <c r="G81" s="129">
        <f>G70+G73+G80</f>
        <v>49618.66142578367</v>
      </c>
      <c r="H81" s="130">
        <f>SUM(D81:G81)</f>
        <v>357656.3614257836</v>
      </c>
      <c r="I81" s="128">
        <f>I70+I73+I80</f>
        <v>1584980.37</v>
      </c>
      <c r="J81" s="129">
        <f>J70+J73+J80</f>
        <v>58.47</v>
      </c>
      <c r="K81" s="129">
        <f>K70+K73+K80</f>
        <v>0</v>
      </c>
      <c r="L81" s="129">
        <f>L70+L73+L80</f>
        <v>309770.64996762708</v>
      </c>
      <c r="M81" s="130">
        <f t="shared" si="42"/>
        <v>1894809.4899676272</v>
      </c>
      <c r="N81" s="128">
        <f>N70+N73+N80</f>
        <v>1557817.3894794844</v>
      </c>
      <c r="O81" s="129">
        <f>O70+O73+O80</f>
        <v>58.47</v>
      </c>
      <c r="P81" s="129">
        <f>P70+P73+P80</f>
        <v>0</v>
      </c>
      <c r="Q81" s="129">
        <f>Q70+Q73+Q80</f>
        <v>289987.03037664626</v>
      </c>
      <c r="R81" s="130">
        <f t="shared" si="43"/>
        <v>1847862.8898561306</v>
      </c>
      <c r="S81" s="131">
        <f t="shared" ref="S81:AB81" si="45">S70+S73+S80</f>
        <v>63242.61314999999</v>
      </c>
      <c r="T81" s="132">
        <f t="shared" si="45"/>
        <v>1784620.271528627</v>
      </c>
      <c r="U81" s="133">
        <f t="shared" si="45"/>
        <v>1249473.3553063527</v>
      </c>
      <c r="V81" s="130">
        <f t="shared" si="45"/>
        <v>0</v>
      </c>
      <c r="W81" s="133">
        <f t="shared" si="45"/>
        <v>96487.186040999979</v>
      </c>
      <c r="X81" s="130">
        <f t="shared" si="45"/>
        <v>115784.62324920001</v>
      </c>
      <c r="Y81" s="159">
        <f t="shared" si="45"/>
        <v>1148293.1969850396</v>
      </c>
      <c r="Z81" s="160">
        <f t="shared" si="45"/>
        <v>770001.87834844738</v>
      </c>
      <c r="AA81" s="135">
        <f t="shared" si="45"/>
        <v>539839.8770715876</v>
      </c>
      <c r="AB81" s="130">
        <f t="shared" si="45"/>
        <v>363686.83999150508</v>
      </c>
      <c r="AC81" s="65"/>
      <c r="AD81" s="66"/>
      <c r="AE81" s="66"/>
      <c r="AF81" s="66"/>
    </row>
    <row r="82" spans="1:32" ht="16.5" customHeight="1" x14ac:dyDescent="0.2">
      <c r="A82" s="293" t="s">
        <v>115</v>
      </c>
      <c r="B82" s="294"/>
      <c r="C82" s="294"/>
      <c r="D82" s="136"/>
      <c r="E82" s="137"/>
      <c r="F82" s="137"/>
      <c r="G82" s="137"/>
      <c r="H82" s="138"/>
      <c r="I82" s="136"/>
      <c r="J82" s="137"/>
      <c r="K82" s="137"/>
      <c r="L82" s="137"/>
      <c r="M82" s="138"/>
      <c r="N82" s="136"/>
      <c r="O82" s="137"/>
      <c r="P82" s="137"/>
      <c r="Q82" s="137"/>
      <c r="R82" s="138"/>
      <c r="S82" s="138"/>
      <c r="T82" s="139"/>
      <c r="U82" s="136"/>
      <c r="V82" s="140"/>
      <c r="W82" s="136"/>
      <c r="X82" s="140"/>
      <c r="Y82" s="161"/>
      <c r="Z82" s="138"/>
      <c r="AA82" s="137"/>
      <c r="AB82" s="140"/>
      <c r="AC82" s="65"/>
      <c r="AD82" s="66"/>
      <c r="AE82" s="66"/>
      <c r="AF82" s="66"/>
    </row>
    <row r="83" spans="1:32" x14ac:dyDescent="0.2">
      <c r="A83" s="52">
        <v>29</v>
      </c>
      <c r="B83" s="53" t="s">
        <v>116</v>
      </c>
      <c r="C83" s="54" t="s">
        <v>117</v>
      </c>
      <c r="D83" s="73">
        <f>ROUND(D81*3%,2)</f>
        <v>9240.7900000000009</v>
      </c>
      <c r="E83" s="57">
        <f>ROUND(E81*3%,2)</f>
        <v>0.34</v>
      </c>
      <c r="F83" s="57">
        <f>F81*3%</f>
        <v>0</v>
      </c>
      <c r="G83" s="57">
        <f>ROUND(G81*3%,2)</f>
        <v>1488.56</v>
      </c>
      <c r="H83" s="58">
        <f>SUM(D83:G83)</f>
        <v>10729.69</v>
      </c>
      <c r="I83" s="73">
        <f>ROUND(I81*3%,2)</f>
        <v>47549.41</v>
      </c>
      <c r="J83" s="57">
        <f>ROUND(J81*3%,2)</f>
        <v>1.75</v>
      </c>
      <c r="K83" s="57">
        <f>K81*3%</f>
        <v>0</v>
      </c>
      <c r="L83" s="57">
        <f>ROUND(L81*3%,2)</f>
        <v>9293.1200000000008</v>
      </c>
      <c r="M83" s="58">
        <f>SUM(I83:L83)</f>
        <v>56844.280000000006</v>
      </c>
      <c r="N83" s="73">
        <f>ROUND(N81*3%,2)</f>
        <v>46734.52</v>
      </c>
      <c r="O83" s="57">
        <f>ROUND(O81*3%,2)</f>
        <v>1.75</v>
      </c>
      <c r="P83" s="57">
        <f>P81*3%</f>
        <v>0</v>
      </c>
      <c r="Q83" s="57">
        <f>ROUND((Q81-Q75-Q76-Q77-Q68)*3%,2)</f>
        <v>6195.27</v>
      </c>
      <c r="R83" s="58">
        <f>SUM(N83:Q83)</f>
        <v>52931.539999999994</v>
      </c>
      <c r="S83" s="59"/>
      <c r="T83" s="156">
        <f>(T81-T68)*3%+S72*3%</f>
        <v>52931.545519529995</v>
      </c>
      <c r="U83" s="61">
        <f>T83*1.2</f>
        <v>63517.854623435989</v>
      </c>
      <c r="V83" s="58"/>
      <c r="W83" s="148">
        <f>W81*3%</f>
        <v>2894.6155812299994</v>
      </c>
      <c r="X83" s="58">
        <f>W83*1.2</f>
        <v>3473.538697475999</v>
      </c>
      <c r="Y83" s="148">
        <f>Y81*3%</f>
        <v>34448.795909551191</v>
      </c>
      <c r="Z83" s="63">
        <f>Y83*1.2</f>
        <v>41338.555091461429</v>
      </c>
      <c r="AA83" s="162">
        <f>T83-W83-Y83</f>
        <v>15588.134028748806</v>
      </c>
      <c r="AB83" s="58">
        <f>AA83*1.2</f>
        <v>18705.760834498567</v>
      </c>
      <c r="AC83" s="65"/>
      <c r="AD83" s="66"/>
      <c r="AE83" s="66"/>
      <c r="AF83" s="66"/>
    </row>
    <row r="84" spans="1:32" s="106" customFormat="1" ht="14.25" x14ac:dyDescent="0.2">
      <c r="A84" s="127"/>
      <c r="B84" s="301" t="s">
        <v>118</v>
      </c>
      <c r="C84" s="302"/>
      <c r="D84" s="128">
        <f>D83</f>
        <v>9240.7900000000009</v>
      </c>
      <c r="E84" s="129">
        <f>E83</f>
        <v>0.34</v>
      </c>
      <c r="F84" s="129">
        <f>F83</f>
        <v>0</v>
      </c>
      <c r="G84" s="129">
        <f>G83</f>
        <v>1488.56</v>
      </c>
      <c r="H84" s="130">
        <f>SUM(D84:G84)</f>
        <v>10729.69</v>
      </c>
      <c r="I84" s="128">
        <f>I83</f>
        <v>47549.41</v>
      </c>
      <c r="J84" s="129">
        <f>J83</f>
        <v>1.75</v>
      </c>
      <c r="K84" s="129">
        <f>K83</f>
        <v>0</v>
      </c>
      <c r="L84" s="129">
        <f>L83</f>
        <v>9293.1200000000008</v>
      </c>
      <c r="M84" s="130">
        <f>SUM(I84:L84)</f>
        <v>56844.280000000006</v>
      </c>
      <c r="N84" s="128">
        <f>N83</f>
        <v>46734.52</v>
      </c>
      <c r="O84" s="129">
        <f>O83</f>
        <v>1.75</v>
      </c>
      <c r="P84" s="129">
        <f>P83</f>
        <v>0</v>
      </c>
      <c r="Q84" s="129">
        <f>Q83</f>
        <v>6195.27</v>
      </c>
      <c r="R84" s="130">
        <f t="shared" ref="R84:R87" si="46">SUM(N84:Q84)</f>
        <v>52931.539999999994</v>
      </c>
      <c r="S84" s="131"/>
      <c r="T84" s="132">
        <f>T83-S84</f>
        <v>52931.545519529995</v>
      </c>
      <c r="U84" s="133">
        <f>U83</f>
        <v>63517.854623435989</v>
      </c>
      <c r="V84" s="130">
        <f t="shared" ref="V84" si="47">V83</f>
        <v>0</v>
      </c>
      <c r="W84" s="133">
        <f>W83</f>
        <v>2894.6155812299994</v>
      </c>
      <c r="X84" s="130">
        <f t="shared" ref="X84:AB84" si="48">X83</f>
        <v>3473.538697475999</v>
      </c>
      <c r="Y84" s="159">
        <f t="shared" si="48"/>
        <v>34448.795909551191</v>
      </c>
      <c r="Z84" s="160">
        <f t="shared" si="48"/>
        <v>41338.555091461429</v>
      </c>
      <c r="AA84" s="135">
        <f t="shared" si="48"/>
        <v>15588.134028748806</v>
      </c>
      <c r="AB84" s="130">
        <f t="shared" si="48"/>
        <v>18705.760834498567</v>
      </c>
      <c r="AC84" s="65"/>
      <c r="AD84" s="66"/>
      <c r="AE84" s="66"/>
      <c r="AF84" s="66"/>
    </row>
    <row r="85" spans="1:32" s="106" customFormat="1" ht="14.25" x14ac:dyDescent="0.2">
      <c r="A85" s="127"/>
      <c r="B85" s="301" t="s">
        <v>119</v>
      </c>
      <c r="C85" s="302"/>
      <c r="D85" s="128">
        <f>D81+D84</f>
        <v>317267.13999999996</v>
      </c>
      <c r="E85" s="129">
        <f>E81+E84</f>
        <v>11.69</v>
      </c>
      <c r="F85" s="129">
        <f>F81+F84</f>
        <v>0</v>
      </c>
      <c r="G85" s="129">
        <f>G81+G84</f>
        <v>51107.221425783668</v>
      </c>
      <c r="H85" s="130">
        <f>SUM(D85:G85)</f>
        <v>368386.0514257836</v>
      </c>
      <c r="I85" s="128">
        <f>I81+I84</f>
        <v>1632529.78</v>
      </c>
      <c r="J85" s="129">
        <f>J81+J84</f>
        <v>60.22</v>
      </c>
      <c r="K85" s="129">
        <f>K81+K84</f>
        <v>0</v>
      </c>
      <c r="L85" s="129">
        <f>L81+L84</f>
        <v>319063.76996762707</v>
      </c>
      <c r="M85" s="130">
        <f>SUM(I85:L85)</f>
        <v>1951653.769967627</v>
      </c>
      <c r="N85" s="128">
        <f>N81+N84</f>
        <v>1604551.9094794844</v>
      </c>
      <c r="O85" s="129">
        <f>O81+O84</f>
        <v>60.22</v>
      </c>
      <c r="P85" s="129">
        <f>P81+P84</f>
        <v>0</v>
      </c>
      <c r="Q85" s="129">
        <f>Q81+Q84</f>
        <v>296182.30037664628</v>
      </c>
      <c r="R85" s="130">
        <f t="shared" si="46"/>
        <v>1900794.4298561306</v>
      </c>
      <c r="S85" s="131">
        <f>S81+S84</f>
        <v>63242.61314999999</v>
      </c>
      <c r="T85" s="132">
        <f>T81+T84</f>
        <v>1837551.8170481571</v>
      </c>
      <c r="U85" s="133">
        <f>U81+U84</f>
        <v>1312991.2099297887</v>
      </c>
      <c r="V85" s="130">
        <f t="shared" ref="V85" si="49">V81+V84</f>
        <v>0</v>
      </c>
      <c r="W85" s="133">
        <f>W81+W84</f>
        <v>99381.801622229978</v>
      </c>
      <c r="X85" s="130">
        <f t="shared" ref="X85:AB85" si="50">X81+X84</f>
        <v>119258.16194667602</v>
      </c>
      <c r="Y85" s="159">
        <f t="shared" si="50"/>
        <v>1182741.9928945908</v>
      </c>
      <c r="Z85" s="160">
        <f t="shared" si="50"/>
        <v>811340.43343990878</v>
      </c>
      <c r="AA85" s="135">
        <f t="shared" si="50"/>
        <v>555428.01110033644</v>
      </c>
      <c r="AB85" s="130">
        <f t="shared" si="50"/>
        <v>382392.60082600365</v>
      </c>
      <c r="AC85" s="65"/>
      <c r="AD85" s="66"/>
      <c r="AE85" s="66"/>
      <c r="AF85" s="66"/>
    </row>
    <row r="86" spans="1:32" ht="15" x14ac:dyDescent="0.2">
      <c r="A86" s="168"/>
      <c r="B86" s="169"/>
      <c r="C86" s="170" t="s">
        <v>120</v>
      </c>
      <c r="D86" s="61"/>
      <c r="E86" s="81"/>
      <c r="F86" s="81"/>
      <c r="G86" s="81"/>
      <c r="H86" s="59"/>
      <c r="I86" s="61"/>
      <c r="J86" s="81"/>
      <c r="K86" s="81"/>
      <c r="L86" s="81"/>
      <c r="M86" s="59"/>
      <c r="N86" s="61"/>
      <c r="O86" s="57"/>
      <c r="P86" s="57"/>
      <c r="Q86" s="57">
        <v>20459</v>
      </c>
      <c r="R86" s="160">
        <f t="shared" si="46"/>
        <v>20459</v>
      </c>
      <c r="S86" s="160"/>
      <c r="T86" s="171">
        <f>R86</f>
        <v>20459</v>
      </c>
      <c r="U86" s="172">
        <f>T86</f>
        <v>20459</v>
      </c>
      <c r="V86" s="130"/>
      <c r="W86" s="133"/>
      <c r="X86" s="130"/>
      <c r="Y86" s="159">
        <f>T86</f>
        <v>20459</v>
      </c>
      <c r="Z86" s="160">
        <f>Y86</f>
        <v>20459</v>
      </c>
      <c r="AA86" s="135"/>
      <c r="AB86" s="130"/>
      <c r="AC86" s="65"/>
      <c r="AD86" s="66"/>
      <c r="AE86" s="66"/>
      <c r="AF86" s="66"/>
    </row>
    <row r="87" spans="1:32" ht="15" x14ac:dyDescent="0.2">
      <c r="A87" s="168"/>
      <c r="B87" s="169"/>
      <c r="C87" s="170" t="s">
        <v>121</v>
      </c>
      <c r="D87" s="61"/>
      <c r="E87" s="81"/>
      <c r="F87" s="81"/>
      <c r="G87" s="81"/>
      <c r="H87" s="59"/>
      <c r="I87" s="61"/>
      <c r="J87" s="81"/>
      <c r="K87" s="81"/>
      <c r="L87" s="81"/>
      <c r="M87" s="59"/>
      <c r="N87" s="61"/>
      <c r="O87" s="57"/>
      <c r="P87" s="57"/>
      <c r="Q87" s="57">
        <v>20459</v>
      </c>
      <c r="R87" s="160">
        <f t="shared" si="46"/>
        <v>20459</v>
      </c>
      <c r="S87" s="160"/>
      <c r="T87" s="171">
        <f>R87</f>
        <v>20459</v>
      </c>
      <c r="U87" s="172">
        <f>T87</f>
        <v>20459</v>
      </c>
      <c r="V87" s="130"/>
      <c r="W87" s="133"/>
      <c r="X87" s="130"/>
      <c r="Y87" s="159"/>
      <c r="Z87" s="160"/>
      <c r="AA87" s="135">
        <f>T87</f>
        <v>20459</v>
      </c>
      <c r="AB87" s="130">
        <f>AA87</f>
        <v>20459</v>
      </c>
      <c r="AC87" s="65"/>
      <c r="AD87" s="66"/>
      <c r="AE87" s="66"/>
      <c r="AF87" s="66"/>
    </row>
    <row r="88" spans="1:32" s="106" customFormat="1" ht="12.75" customHeight="1" x14ac:dyDescent="0.2">
      <c r="A88" s="293" t="s">
        <v>122</v>
      </c>
      <c r="B88" s="294"/>
      <c r="C88" s="294"/>
      <c r="D88" s="173"/>
      <c r="E88" s="174"/>
      <c r="F88" s="174"/>
      <c r="G88" s="174"/>
      <c r="H88" s="175"/>
      <c r="I88" s="173"/>
      <c r="J88" s="174"/>
      <c r="K88" s="174"/>
      <c r="L88" s="174"/>
      <c r="M88" s="175"/>
      <c r="N88" s="176">
        <f>SUM(N85:N87)</f>
        <v>1604551.9094794844</v>
      </c>
      <c r="O88" s="177">
        <f>SUM(O85:O87)</f>
        <v>60.22</v>
      </c>
      <c r="P88" s="177">
        <f t="shared" ref="P88:AB88" si="51">SUM(P85:P87)</f>
        <v>0</v>
      </c>
      <c r="Q88" s="177">
        <f>SUM(Q85:Q87)</f>
        <v>337100.30037664628</v>
      </c>
      <c r="R88" s="175">
        <f>SUM(N88:Q88)</f>
        <v>1941712.4298561306</v>
      </c>
      <c r="S88" s="178">
        <f>SUM(S85:S87)</f>
        <v>63242.61314999999</v>
      </c>
      <c r="T88" s="179">
        <f>SUM(T85:T87)</f>
        <v>1878469.8170481571</v>
      </c>
      <c r="U88" s="180">
        <f t="shared" si="51"/>
        <v>1353909.2099297887</v>
      </c>
      <c r="V88" s="181">
        <f t="shared" si="51"/>
        <v>0</v>
      </c>
      <c r="W88" s="180">
        <f t="shared" si="51"/>
        <v>99381.801622229978</v>
      </c>
      <c r="X88" s="181">
        <f t="shared" si="51"/>
        <v>119258.16194667602</v>
      </c>
      <c r="Y88" s="182">
        <f t="shared" si="51"/>
        <v>1203200.9928945908</v>
      </c>
      <c r="Z88" s="183">
        <f t="shared" si="51"/>
        <v>831799.43343990878</v>
      </c>
      <c r="AA88" s="184">
        <f t="shared" si="51"/>
        <v>575887.01110033644</v>
      </c>
      <c r="AB88" s="181">
        <f t="shared" si="51"/>
        <v>402851.60082600365</v>
      </c>
      <c r="AC88" s="237"/>
      <c r="AD88" s="66"/>
      <c r="AE88" s="66"/>
      <c r="AF88" s="66"/>
    </row>
    <row r="89" spans="1:32" ht="15.75" customHeight="1" x14ac:dyDescent="0.2">
      <c r="A89" s="293" t="s">
        <v>123</v>
      </c>
      <c r="B89" s="294"/>
      <c r="C89" s="294"/>
      <c r="D89" s="136"/>
      <c r="E89" s="137"/>
      <c r="F89" s="137"/>
      <c r="G89" s="137"/>
      <c r="H89" s="138"/>
      <c r="I89" s="136"/>
      <c r="J89" s="137"/>
      <c r="K89" s="137"/>
      <c r="L89" s="137"/>
      <c r="M89" s="138"/>
      <c r="N89" s="136"/>
      <c r="O89" s="137"/>
      <c r="P89" s="137"/>
      <c r="Q89" s="137"/>
      <c r="R89" s="138"/>
      <c r="S89" s="138"/>
      <c r="T89" s="138"/>
      <c r="U89" s="136"/>
      <c r="V89" s="140"/>
      <c r="W89" s="136"/>
      <c r="X89" s="140"/>
      <c r="Y89" s="161"/>
      <c r="Z89" s="138"/>
      <c r="AA89" s="137"/>
      <c r="AB89" s="140"/>
      <c r="AC89" s="185"/>
      <c r="AF89" s="186"/>
    </row>
    <row r="90" spans="1:32" ht="17.25" customHeight="1" x14ac:dyDescent="0.2">
      <c r="A90" s="52">
        <v>30</v>
      </c>
      <c r="B90" s="187"/>
      <c r="C90" s="54" t="s">
        <v>124</v>
      </c>
      <c r="D90" s="73"/>
      <c r="E90" s="57"/>
      <c r="F90" s="56"/>
      <c r="G90" s="57"/>
      <c r="H90" s="58"/>
      <c r="I90" s="73">
        <f>ROUND(I85*0.18,2)</f>
        <v>293855.35999999999</v>
      </c>
      <c r="J90" s="57">
        <f t="shared" ref="J90:K90" si="52">ROUND(J85*0.18,2)</f>
        <v>10.84</v>
      </c>
      <c r="K90" s="56">
        <f t="shared" si="52"/>
        <v>0</v>
      </c>
      <c r="L90" s="57">
        <f>ROUND((L85-L79)*0.18,2)</f>
        <v>57369.52</v>
      </c>
      <c r="M90" s="58">
        <f>SUM(I90:L90)</f>
        <v>351235.72000000003</v>
      </c>
      <c r="N90" s="73">
        <f>ROUND(((N85-723749950.04/1000)*0.2+723749950.04/1000*0.18),2)</f>
        <v>306435.38</v>
      </c>
      <c r="O90" s="57">
        <f>ROUND(O85*0.2,2)</f>
        <v>12.04</v>
      </c>
      <c r="P90" s="56">
        <f t="shared" ref="P90" si="53">ROUND(P85*0.18,2)</f>
        <v>0</v>
      </c>
      <c r="Q90" s="57">
        <f>(Q88-Q68-Q75-Q76-Q77-Q86-Q87-1895.84953066204)*0.2+(Q75+Q76+Q77)*0.18+Q68*0.18*90%+1895.84953066204</f>
        <v>58684.070003869063</v>
      </c>
      <c r="R90" s="58">
        <f>SUM(N90:Q90)</f>
        <v>365131.49000386905</v>
      </c>
      <c r="S90" s="59"/>
      <c r="T90" s="59"/>
      <c r="U90" s="61"/>
      <c r="V90" s="58"/>
      <c r="W90" s="61"/>
      <c r="X90" s="58"/>
      <c r="Y90" s="80"/>
      <c r="Z90" s="58"/>
      <c r="AA90" s="81"/>
      <c r="AB90" s="58"/>
      <c r="AC90" s="65"/>
      <c r="AF90" s="186"/>
    </row>
    <row r="91" spans="1:32" s="106" customFormat="1" ht="17.25" customHeight="1" thickBot="1" x14ac:dyDescent="0.25">
      <c r="A91" s="188">
        <v>31</v>
      </c>
      <c r="B91" s="189"/>
      <c r="C91" s="190" t="s">
        <v>125</v>
      </c>
      <c r="D91" s="191">
        <f>D85</f>
        <v>317267.13999999996</v>
      </c>
      <c r="E91" s="192">
        <f>E85</f>
        <v>11.69</v>
      </c>
      <c r="F91" s="192">
        <f t="shared" ref="F91:G91" si="54">F85</f>
        <v>0</v>
      </c>
      <c r="G91" s="192">
        <f t="shared" si="54"/>
        <v>51107.221425783668</v>
      </c>
      <c r="H91" s="193">
        <f>SUM(D91:G91)</f>
        <v>368386.0514257836</v>
      </c>
      <c r="I91" s="191">
        <f>I85+I90</f>
        <v>1926385.1400000001</v>
      </c>
      <c r="J91" s="192">
        <f t="shared" ref="J91:L91" si="55">J85+J90</f>
        <v>71.06</v>
      </c>
      <c r="K91" s="192">
        <f t="shared" si="55"/>
        <v>0</v>
      </c>
      <c r="L91" s="192">
        <f t="shared" si="55"/>
        <v>376433.28996762709</v>
      </c>
      <c r="M91" s="193">
        <f>SUM(I91:L91)</f>
        <v>2302889.4899676275</v>
      </c>
      <c r="N91" s="191">
        <f>N85+N90</f>
        <v>1910987.2894794843</v>
      </c>
      <c r="O91" s="192">
        <f t="shared" ref="O91:P91" si="56">O85+O90</f>
        <v>72.259999999999991</v>
      </c>
      <c r="P91" s="192">
        <f t="shared" si="56"/>
        <v>0</v>
      </c>
      <c r="Q91" s="192">
        <f>Q88+Q90</f>
        <v>395784.37038051535</v>
      </c>
      <c r="R91" s="193">
        <f>SUM(N91:Q91)</f>
        <v>2306843.9198599998</v>
      </c>
      <c r="S91" s="194"/>
      <c r="T91" s="194"/>
      <c r="U91" s="303"/>
      <c r="V91" s="304"/>
      <c r="W91" s="195"/>
      <c r="X91" s="196"/>
      <c r="Y91" s="196"/>
      <c r="Z91" s="196"/>
      <c r="AA91" s="196"/>
      <c r="AB91" s="196"/>
      <c r="AC91" s="197"/>
      <c r="AF91" s="186"/>
    </row>
    <row r="92" spans="1:32" x14ac:dyDescent="0.2">
      <c r="W92" s="198">
        <f>W88+Y88+AA88</f>
        <v>1878469.8056171574</v>
      </c>
      <c r="X92" s="199">
        <f>T88-W88-Y88-AA88</f>
        <v>1.1430999729782343E-2</v>
      </c>
      <c r="Y92" s="6" t="s">
        <v>126</v>
      </c>
    </row>
    <row r="93" spans="1:32" s="27" customFormat="1" ht="15" x14ac:dyDescent="0.25">
      <c r="A93" s="202"/>
      <c r="B93" s="8"/>
      <c r="C93" s="203"/>
      <c r="D93" s="8"/>
      <c r="E93" s="8"/>
      <c r="F93" s="8"/>
      <c r="G93" s="8"/>
      <c r="H93" s="8"/>
      <c r="I93" s="204"/>
      <c r="J93" s="204"/>
      <c r="K93" s="204"/>
      <c r="L93" s="204"/>
      <c r="M93" s="205"/>
      <c r="N93" s="245"/>
      <c r="Q93" s="206"/>
      <c r="S93" s="207"/>
      <c r="T93" s="208"/>
      <c r="W93" s="209"/>
      <c r="X93" s="210"/>
      <c r="AC93" s="234"/>
    </row>
    <row r="94" spans="1:32" s="27" customFormat="1" x14ac:dyDescent="0.2">
      <c r="A94" s="202"/>
      <c r="B94" s="8"/>
      <c r="C94" s="7"/>
      <c r="D94" s="8"/>
      <c r="E94" s="8"/>
      <c r="F94" s="8"/>
      <c r="G94" s="8"/>
      <c r="H94" s="8"/>
      <c r="I94" s="204"/>
      <c r="J94" s="204"/>
      <c r="K94" s="204"/>
      <c r="L94" s="204"/>
      <c r="M94" s="204"/>
      <c r="N94" s="208"/>
      <c r="O94" s="208"/>
      <c r="P94" s="208"/>
      <c r="Q94" s="212"/>
      <c r="R94" s="246">
        <f>R91-'Расчет с НДС'!K8</f>
        <v>0</v>
      </c>
    </row>
    <row r="95" spans="1:32" s="27" customFormat="1" x14ac:dyDescent="0.2">
      <c r="A95" s="202"/>
      <c r="B95" s="8"/>
      <c r="C95" s="7"/>
      <c r="D95" s="8"/>
      <c r="E95" s="8"/>
      <c r="F95" s="8"/>
      <c r="G95" s="8"/>
      <c r="H95" s="8"/>
      <c r="I95" s="204"/>
      <c r="J95" s="204"/>
      <c r="K95" s="204"/>
      <c r="L95" s="204"/>
      <c r="M95" s="211"/>
      <c r="N95" s="208"/>
      <c r="Q95" s="249"/>
      <c r="S95" s="212"/>
    </row>
    <row r="96" spans="1:32" s="27" customFormat="1" ht="15" x14ac:dyDescent="0.25">
      <c r="A96" s="202"/>
      <c r="B96" s="8"/>
      <c r="C96" s="7"/>
      <c r="D96" s="8"/>
      <c r="E96" s="8"/>
      <c r="F96" s="8"/>
      <c r="G96" s="8"/>
      <c r="H96" s="8"/>
      <c r="I96" s="204"/>
      <c r="J96" s="204"/>
      <c r="K96" s="204"/>
      <c r="L96" s="204"/>
      <c r="M96" s="213"/>
      <c r="N96" s="214"/>
      <c r="P96" s="208"/>
      <c r="R96" s="234"/>
      <c r="T96" s="215"/>
      <c r="U96" s="216"/>
      <c r="W96" s="208"/>
    </row>
    <row r="97" spans="1:21" s="27" customFormat="1" x14ac:dyDescent="0.2">
      <c r="A97" s="202"/>
      <c r="B97" s="8"/>
      <c r="C97" s="7"/>
      <c r="D97" s="8"/>
      <c r="E97" s="8"/>
      <c r="F97" s="8"/>
      <c r="G97" s="8"/>
      <c r="H97" s="8"/>
      <c r="I97" s="204"/>
      <c r="J97" s="204"/>
      <c r="K97" s="204"/>
      <c r="L97" s="204"/>
      <c r="M97" s="204"/>
      <c r="N97" s="212"/>
      <c r="T97" s="215"/>
      <c r="U97" s="217"/>
    </row>
    <row r="98" spans="1:21" x14ac:dyDescent="0.2">
      <c r="T98" s="200"/>
      <c r="U98" s="23"/>
    </row>
    <row r="101" spans="1:21" x14ac:dyDescent="0.2">
      <c r="R101" s="201"/>
    </row>
  </sheetData>
  <autoFilter ref="A33:AF95"/>
  <mergeCells count="58">
    <mergeCell ref="B85:C85"/>
    <mergeCell ref="A88:C88"/>
    <mergeCell ref="A89:C89"/>
    <mergeCell ref="U91:V91"/>
    <mergeCell ref="B73:C73"/>
    <mergeCell ref="A74:C74"/>
    <mergeCell ref="B80:C80"/>
    <mergeCell ref="B81:C81"/>
    <mergeCell ref="A82:C82"/>
    <mergeCell ref="B84:C84"/>
    <mergeCell ref="A71:C71"/>
    <mergeCell ref="A34:C34"/>
    <mergeCell ref="B44:C44"/>
    <mergeCell ref="A45:C45"/>
    <mergeCell ref="B48:C48"/>
    <mergeCell ref="A49:C49"/>
    <mergeCell ref="B50:C50"/>
    <mergeCell ref="A51:C51"/>
    <mergeCell ref="B53:C53"/>
    <mergeCell ref="B54:C54"/>
    <mergeCell ref="B69:C69"/>
    <mergeCell ref="B70:C70"/>
    <mergeCell ref="T30:T32"/>
    <mergeCell ref="U30:U32"/>
    <mergeCell ref="V30:V32"/>
    <mergeCell ref="W30:AB30"/>
    <mergeCell ref="W31:X31"/>
    <mergeCell ref="Y31:Z31"/>
    <mergeCell ref="AA31:AB31"/>
    <mergeCell ref="S30:S32"/>
    <mergeCell ref="N29:R29"/>
    <mergeCell ref="D30:D32"/>
    <mergeCell ref="E30:E32"/>
    <mergeCell ref="F30:F32"/>
    <mergeCell ref="G30:G32"/>
    <mergeCell ref="H30:H32"/>
    <mergeCell ref="I30:I32"/>
    <mergeCell ref="J30:J32"/>
    <mergeCell ref="K30:K32"/>
    <mergeCell ref="L30:L32"/>
    <mergeCell ref="N30:N32"/>
    <mergeCell ref="O30:O32"/>
    <mergeCell ref="P30:P32"/>
    <mergeCell ref="Q30:Q32"/>
    <mergeCell ref="R30:R32"/>
    <mergeCell ref="A16:M16"/>
    <mergeCell ref="A29:A32"/>
    <mergeCell ref="B29:B32"/>
    <mergeCell ref="C29:C32"/>
    <mergeCell ref="D29:H29"/>
    <mergeCell ref="I29:M29"/>
    <mergeCell ref="M30:M32"/>
    <mergeCell ref="A15:M15"/>
    <mergeCell ref="C2:L2"/>
    <mergeCell ref="C3:L3"/>
    <mergeCell ref="C8:L8"/>
    <mergeCell ref="C9:L9"/>
    <mergeCell ref="A13:M13"/>
  </mergeCells>
  <printOptions horizontalCentered="1"/>
  <pageMargins left="0" right="0" top="0.35433070866141736" bottom="0.35433070866141736" header="0.31496062992125984" footer="0.31496062992125984"/>
  <pageSetup paperSize="9" scale="55" orientation="landscape" r:id="rId1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6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7" sqref="C7"/>
    </sheetView>
  </sheetViews>
  <sheetFormatPr defaultRowHeight="15" x14ac:dyDescent="0.25"/>
  <cols>
    <col min="1" max="1" width="13.85546875" style="221" customWidth="1"/>
    <col min="2" max="2" width="15.140625" style="221" customWidth="1"/>
    <col min="3" max="3" width="40" style="221" customWidth="1"/>
    <col min="4" max="4" width="15" style="221" customWidth="1"/>
    <col min="5" max="5" width="13.28515625" style="221" customWidth="1"/>
    <col min="6" max="6" width="11.7109375" style="221" customWidth="1"/>
    <col min="7" max="7" width="11.85546875" style="221" customWidth="1"/>
    <col min="8" max="8" width="12" style="221" customWidth="1"/>
    <col min="9" max="9" width="14" style="221" customWidth="1"/>
    <col min="10" max="10" width="14.5703125" style="221" customWidth="1"/>
    <col min="11" max="11" width="16.28515625" style="221" customWidth="1"/>
    <col min="12" max="13" width="6.140625" style="221" customWidth="1"/>
    <col min="14" max="14" width="8.42578125" style="221" customWidth="1"/>
    <col min="15" max="15" width="18" style="221" customWidth="1"/>
    <col min="16" max="16" width="19.140625" style="221" customWidth="1"/>
    <col min="17" max="17" width="7.28515625" style="221" customWidth="1"/>
    <col min="18" max="18" width="4.5703125" style="221" customWidth="1"/>
    <col min="19" max="257" width="9.140625" style="221"/>
    <col min="258" max="258" width="23.85546875" style="221" customWidth="1"/>
    <col min="259" max="259" width="18.140625" style="221" customWidth="1"/>
    <col min="260" max="260" width="30.28515625" style="221" customWidth="1"/>
    <col min="261" max="261" width="26" style="221" customWidth="1"/>
    <col min="262" max="266" width="13.28515625" style="221" customWidth="1"/>
    <col min="267" max="267" width="16.85546875" style="221" bestFit="1" customWidth="1"/>
    <col min="268" max="268" width="14.7109375" style="221" customWidth="1"/>
    <col min="269" max="269" width="10" style="221" bestFit="1" customWidth="1"/>
    <col min="270" max="270" width="19.140625" style="221" customWidth="1"/>
    <col min="271" max="513" width="9.140625" style="221"/>
    <col min="514" max="514" width="23.85546875" style="221" customWidth="1"/>
    <col min="515" max="515" width="18.140625" style="221" customWidth="1"/>
    <col min="516" max="516" width="30.28515625" style="221" customWidth="1"/>
    <col min="517" max="517" width="26" style="221" customWidth="1"/>
    <col min="518" max="522" width="13.28515625" style="221" customWidth="1"/>
    <col min="523" max="523" width="16.85546875" style="221" bestFit="1" customWidth="1"/>
    <col min="524" max="524" width="14.7109375" style="221" customWidth="1"/>
    <col min="525" max="525" width="10" style="221" bestFit="1" customWidth="1"/>
    <col min="526" max="526" width="19.140625" style="221" customWidth="1"/>
    <col min="527" max="769" width="9.140625" style="221"/>
    <col min="770" max="770" width="23.85546875" style="221" customWidth="1"/>
    <col min="771" max="771" width="18.140625" style="221" customWidth="1"/>
    <col min="772" max="772" width="30.28515625" style="221" customWidth="1"/>
    <col min="773" max="773" width="26" style="221" customWidth="1"/>
    <col min="774" max="778" width="13.28515625" style="221" customWidth="1"/>
    <col min="779" max="779" width="16.85546875" style="221" bestFit="1" customWidth="1"/>
    <col min="780" max="780" width="14.7109375" style="221" customWidth="1"/>
    <col min="781" max="781" width="10" style="221" bestFit="1" customWidth="1"/>
    <col min="782" max="782" width="19.140625" style="221" customWidth="1"/>
    <col min="783" max="1025" width="9.140625" style="221"/>
    <col min="1026" max="1026" width="23.85546875" style="221" customWidth="1"/>
    <col min="1027" max="1027" width="18.140625" style="221" customWidth="1"/>
    <col min="1028" max="1028" width="30.28515625" style="221" customWidth="1"/>
    <col min="1029" max="1029" width="26" style="221" customWidth="1"/>
    <col min="1030" max="1034" width="13.28515625" style="221" customWidth="1"/>
    <col min="1035" max="1035" width="16.85546875" style="221" bestFit="1" customWidth="1"/>
    <col min="1036" max="1036" width="14.7109375" style="221" customWidth="1"/>
    <col min="1037" max="1037" width="10" style="221" bestFit="1" customWidth="1"/>
    <col min="1038" max="1038" width="19.140625" style="221" customWidth="1"/>
    <col min="1039" max="1281" width="9.140625" style="221"/>
    <col min="1282" max="1282" width="23.85546875" style="221" customWidth="1"/>
    <col min="1283" max="1283" width="18.140625" style="221" customWidth="1"/>
    <col min="1284" max="1284" width="30.28515625" style="221" customWidth="1"/>
    <col min="1285" max="1285" width="26" style="221" customWidth="1"/>
    <col min="1286" max="1290" width="13.28515625" style="221" customWidth="1"/>
    <col min="1291" max="1291" width="16.85546875" style="221" bestFit="1" customWidth="1"/>
    <col min="1292" max="1292" width="14.7109375" style="221" customWidth="1"/>
    <col min="1293" max="1293" width="10" style="221" bestFit="1" customWidth="1"/>
    <col min="1294" max="1294" width="19.140625" style="221" customWidth="1"/>
    <col min="1295" max="1537" width="9.140625" style="221"/>
    <col min="1538" max="1538" width="23.85546875" style="221" customWidth="1"/>
    <col min="1539" max="1539" width="18.140625" style="221" customWidth="1"/>
    <col min="1540" max="1540" width="30.28515625" style="221" customWidth="1"/>
    <col min="1541" max="1541" width="26" style="221" customWidth="1"/>
    <col min="1542" max="1546" width="13.28515625" style="221" customWidth="1"/>
    <col min="1547" max="1547" width="16.85546875" style="221" bestFit="1" customWidth="1"/>
    <col min="1548" max="1548" width="14.7109375" style="221" customWidth="1"/>
    <col min="1549" max="1549" width="10" style="221" bestFit="1" customWidth="1"/>
    <col min="1550" max="1550" width="19.140625" style="221" customWidth="1"/>
    <col min="1551" max="1793" width="9.140625" style="221"/>
    <col min="1794" max="1794" width="23.85546875" style="221" customWidth="1"/>
    <col min="1795" max="1795" width="18.140625" style="221" customWidth="1"/>
    <col min="1796" max="1796" width="30.28515625" style="221" customWidth="1"/>
    <col min="1797" max="1797" width="26" style="221" customWidth="1"/>
    <col min="1798" max="1802" width="13.28515625" style="221" customWidth="1"/>
    <col min="1803" max="1803" width="16.85546875" style="221" bestFit="1" customWidth="1"/>
    <col min="1804" max="1804" width="14.7109375" style="221" customWidth="1"/>
    <col min="1805" max="1805" width="10" style="221" bestFit="1" customWidth="1"/>
    <col min="1806" max="1806" width="19.140625" style="221" customWidth="1"/>
    <col min="1807" max="2049" width="9.140625" style="221"/>
    <col min="2050" max="2050" width="23.85546875" style="221" customWidth="1"/>
    <col min="2051" max="2051" width="18.140625" style="221" customWidth="1"/>
    <col min="2052" max="2052" width="30.28515625" style="221" customWidth="1"/>
    <col min="2053" max="2053" width="26" style="221" customWidth="1"/>
    <col min="2054" max="2058" width="13.28515625" style="221" customWidth="1"/>
    <col min="2059" max="2059" width="16.85546875" style="221" bestFit="1" customWidth="1"/>
    <col min="2060" max="2060" width="14.7109375" style="221" customWidth="1"/>
    <col min="2061" max="2061" width="10" style="221" bestFit="1" customWidth="1"/>
    <col min="2062" max="2062" width="19.140625" style="221" customWidth="1"/>
    <col min="2063" max="2305" width="9.140625" style="221"/>
    <col min="2306" max="2306" width="23.85546875" style="221" customWidth="1"/>
    <col min="2307" max="2307" width="18.140625" style="221" customWidth="1"/>
    <col min="2308" max="2308" width="30.28515625" style="221" customWidth="1"/>
    <col min="2309" max="2309" width="26" style="221" customWidth="1"/>
    <col min="2310" max="2314" width="13.28515625" style="221" customWidth="1"/>
    <col min="2315" max="2315" width="16.85546875" style="221" bestFit="1" customWidth="1"/>
    <col min="2316" max="2316" width="14.7109375" style="221" customWidth="1"/>
    <col min="2317" max="2317" width="10" style="221" bestFit="1" customWidth="1"/>
    <col min="2318" max="2318" width="19.140625" style="221" customWidth="1"/>
    <col min="2319" max="2561" width="9.140625" style="221"/>
    <col min="2562" max="2562" width="23.85546875" style="221" customWidth="1"/>
    <col min="2563" max="2563" width="18.140625" style="221" customWidth="1"/>
    <col min="2564" max="2564" width="30.28515625" style="221" customWidth="1"/>
    <col min="2565" max="2565" width="26" style="221" customWidth="1"/>
    <col min="2566" max="2570" width="13.28515625" style="221" customWidth="1"/>
    <col min="2571" max="2571" width="16.85546875" style="221" bestFit="1" customWidth="1"/>
    <col min="2572" max="2572" width="14.7109375" style="221" customWidth="1"/>
    <col min="2573" max="2573" width="10" style="221" bestFit="1" customWidth="1"/>
    <col min="2574" max="2574" width="19.140625" style="221" customWidth="1"/>
    <col min="2575" max="2817" width="9.140625" style="221"/>
    <col min="2818" max="2818" width="23.85546875" style="221" customWidth="1"/>
    <col min="2819" max="2819" width="18.140625" style="221" customWidth="1"/>
    <col min="2820" max="2820" width="30.28515625" style="221" customWidth="1"/>
    <col min="2821" max="2821" width="26" style="221" customWidth="1"/>
    <col min="2822" max="2826" width="13.28515625" style="221" customWidth="1"/>
    <col min="2827" max="2827" width="16.85546875" style="221" bestFit="1" customWidth="1"/>
    <col min="2828" max="2828" width="14.7109375" style="221" customWidth="1"/>
    <col min="2829" max="2829" width="10" style="221" bestFit="1" customWidth="1"/>
    <col min="2830" max="2830" width="19.140625" style="221" customWidth="1"/>
    <col min="2831" max="3073" width="9.140625" style="221"/>
    <col min="3074" max="3074" width="23.85546875" style="221" customWidth="1"/>
    <col min="3075" max="3075" width="18.140625" style="221" customWidth="1"/>
    <col min="3076" max="3076" width="30.28515625" style="221" customWidth="1"/>
    <col min="3077" max="3077" width="26" style="221" customWidth="1"/>
    <col min="3078" max="3082" width="13.28515625" style="221" customWidth="1"/>
    <col min="3083" max="3083" width="16.85546875" style="221" bestFit="1" customWidth="1"/>
    <col min="3084" max="3084" width="14.7109375" style="221" customWidth="1"/>
    <col min="3085" max="3085" width="10" style="221" bestFit="1" customWidth="1"/>
    <col min="3086" max="3086" width="19.140625" style="221" customWidth="1"/>
    <col min="3087" max="3329" width="9.140625" style="221"/>
    <col min="3330" max="3330" width="23.85546875" style="221" customWidth="1"/>
    <col min="3331" max="3331" width="18.140625" style="221" customWidth="1"/>
    <col min="3332" max="3332" width="30.28515625" style="221" customWidth="1"/>
    <col min="3333" max="3333" width="26" style="221" customWidth="1"/>
    <col min="3334" max="3338" width="13.28515625" style="221" customWidth="1"/>
    <col min="3339" max="3339" width="16.85546875" style="221" bestFit="1" customWidth="1"/>
    <col min="3340" max="3340" width="14.7109375" style="221" customWidth="1"/>
    <col min="3341" max="3341" width="10" style="221" bestFit="1" customWidth="1"/>
    <col min="3342" max="3342" width="19.140625" style="221" customWidth="1"/>
    <col min="3343" max="3585" width="9.140625" style="221"/>
    <col min="3586" max="3586" width="23.85546875" style="221" customWidth="1"/>
    <col min="3587" max="3587" width="18.140625" style="221" customWidth="1"/>
    <col min="3588" max="3588" width="30.28515625" style="221" customWidth="1"/>
    <col min="3589" max="3589" width="26" style="221" customWidth="1"/>
    <col min="3590" max="3594" width="13.28515625" style="221" customWidth="1"/>
    <col min="3595" max="3595" width="16.85546875" style="221" bestFit="1" customWidth="1"/>
    <col min="3596" max="3596" width="14.7109375" style="221" customWidth="1"/>
    <col min="3597" max="3597" width="10" style="221" bestFit="1" customWidth="1"/>
    <col min="3598" max="3598" width="19.140625" style="221" customWidth="1"/>
    <col min="3599" max="3841" width="9.140625" style="221"/>
    <col min="3842" max="3842" width="23.85546875" style="221" customWidth="1"/>
    <col min="3843" max="3843" width="18.140625" style="221" customWidth="1"/>
    <col min="3844" max="3844" width="30.28515625" style="221" customWidth="1"/>
    <col min="3845" max="3845" width="26" style="221" customWidth="1"/>
    <col min="3846" max="3850" width="13.28515625" style="221" customWidth="1"/>
    <col min="3851" max="3851" width="16.85546875" style="221" bestFit="1" customWidth="1"/>
    <col min="3852" max="3852" width="14.7109375" style="221" customWidth="1"/>
    <col min="3853" max="3853" width="10" style="221" bestFit="1" customWidth="1"/>
    <col min="3854" max="3854" width="19.140625" style="221" customWidth="1"/>
    <col min="3855" max="4097" width="9.140625" style="221"/>
    <col min="4098" max="4098" width="23.85546875" style="221" customWidth="1"/>
    <col min="4099" max="4099" width="18.140625" style="221" customWidth="1"/>
    <col min="4100" max="4100" width="30.28515625" style="221" customWidth="1"/>
    <col min="4101" max="4101" width="26" style="221" customWidth="1"/>
    <col min="4102" max="4106" width="13.28515625" style="221" customWidth="1"/>
    <col min="4107" max="4107" width="16.85546875" style="221" bestFit="1" customWidth="1"/>
    <col min="4108" max="4108" width="14.7109375" style="221" customWidth="1"/>
    <col min="4109" max="4109" width="10" style="221" bestFit="1" customWidth="1"/>
    <col min="4110" max="4110" width="19.140625" style="221" customWidth="1"/>
    <col min="4111" max="4353" width="9.140625" style="221"/>
    <col min="4354" max="4354" width="23.85546875" style="221" customWidth="1"/>
    <col min="4355" max="4355" width="18.140625" style="221" customWidth="1"/>
    <col min="4356" max="4356" width="30.28515625" style="221" customWidth="1"/>
    <col min="4357" max="4357" width="26" style="221" customWidth="1"/>
    <col min="4358" max="4362" width="13.28515625" style="221" customWidth="1"/>
    <col min="4363" max="4363" width="16.85546875" style="221" bestFit="1" customWidth="1"/>
    <col min="4364" max="4364" width="14.7109375" style="221" customWidth="1"/>
    <col min="4365" max="4365" width="10" style="221" bestFit="1" customWidth="1"/>
    <col min="4366" max="4366" width="19.140625" style="221" customWidth="1"/>
    <col min="4367" max="4609" width="9.140625" style="221"/>
    <col min="4610" max="4610" width="23.85546875" style="221" customWidth="1"/>
    <col min="4611" max="4611" width="18.140625" style="221" customWidth="1"/>
    <col min="4612" max="4612" width="30.28515625" style="221" customWidth="1"/>
    <col min="4613" max="4613" width="26" style="221" customWidth="1"/>
    <col min="4614" max="4618" width="13.28515625" style="221" customWidth="1"/>
    <col min="4619" max="4619" width="16.85546875" style="221" bestFit="1" customWidth="1"/>
    <col min="4620" max="4620" width="14.7109375" style="221" customWidth="1"/>
    <col min="4621" max="4621" width="10" style="221" bestFit="1" customWidth="1"/>
    <col min="4622" max="4622" width="19.140625" style="221" customWidth="1"/>
    <col min="4623" max="4865" width="9.140625" style="221"/>
    <col min="4866" max="4866" width="23.85546875" style="221" customWidth="1"/>
    <col min="4867" max="4867" width="18.140625" style="221" customWidth="1"/>
    <col min="4868" max="4868" width="30.28515625" style="221" customWidth="1"/>
    <col min="4869" max="4869" width="26" style="221" customWidth="1"/>
    <col min="4870" max="4874" width="13.28515625" style="221" customWidth="1"/>
    <col min="4875" max="4875" width="16.85546875" style="221" bestFit="1" customWidth="1"/>
    <col min="4876" max="4876" width="14.7109375" style="221" customWidth="1"/>
    <col min="4877" max="4877" width="10" style="221" bestFit="1" customWidth="1"/>
    <col min="4878" max="4878" width="19.140625" style="221" customWidth="1"/>
    <col min="4879" max="5121" width="9.140625" style="221"/>
    <col min="5122" max="5122" width="23.85546875" style="221" customWidth="1"/>
    <col min="5123" max="5123" width="18.140625" style="221" customWidth="1"/>
    <col min="5124" max="5124" width="30.28515625" style="221" customWidth="1"/>
    <col min="5125" max="5125" width="26" style="221" customWidth="1"/>
    <col min="5126" max="5130" width="13.28515625" style="221" customWidth="1"/>
    <col min="5131" max="5131" width="16.85546875" style="221" bestFit="1" customWidth="1"/>
    <col min="5132" max="5132" width="14.7109375" style="221" customWidth="1"/>
    <col min="5133" max="5133" width="10" style="221" bestFit="1" customWidth="1"/>
    <col min="5134" max="5134" width="19.140625" style="221" customWidth="1"/>
    <col min="5135" max="5377" width="9.140625" style="221"/>
    <col min="5378" max="5378" width="23.85546875" style="221" customWidth="1"/>
    <col min="5379" max="5379" width="18.140625" style="221" customWidth="1"/>
    <col min="5380" max="5380" width="30.28515625" style="221" customWidth="1"/>
    <col min="5381" max="5381" width="26" style="221" customWidth="1"/>
    <col min="5382" max="5386" width="13.28515625" style="221" customWidth="1"/>
    <col min="5387" max="5387" width="16.85546875" style="221" bestFit="1" customWidth="1"/>
    <col min="5388" max="5388" width="14.7109375" style="221" customWidth="1"/>
    <col min="5389" max="5389" width="10" style="221" bestFit="1" customWidth="1"/>
    <col min="5390" max="5390" width="19.140625" style="221" customWidth="1"/>
    <col min="5391" max="5633" width="9.140625" style="221"/>
    <col min="5634" max="5634" width="23.85546875" style="221" customWidth="1"/>
    <col min="5635" max="5635" width="18.140625" style="221" customWidth="1"/>
    <col min="5636" max="5636" width="30.28515625" style="221" customWidth="1"/>
    <col min="5637" max="5637" width="26" style="221" customWidth="1"/>
    <col min="5638" max="5642" width="13.28515625" style="221" customWidth="1"/>
    <col min="5643" max="5643" width="16.85546875" style="221" bestFit="1" customWidth="1"/>
    <col min="5644" max="5644" width="14.7109375" style="221" customWidth="1"/>
    <col min="5645" max="5645" width="10" style="221" bestFit="1" customWidth="1"/>
    <col min="5646" max="5646" width="19.140625" style="221" customWidth="1"/>
    <col min="5647" max="5889" width="9.140625" style="221"/>
    <col min="5890" max="5890" width="23.85546875" style="221" customWidth="1"/>
    <col min="5891" max="5891" width="18.140625" style="221" customWidth="1"/>
    <col min="5892" max="5892" width="30.28515625" style="221" customWidth="1"/>
    <col min="5893" max="5893" width="26" style="221" customWidth="1"/>
    <col min="5894" max="5898" width="13.28515625" style="221" customWidth="1"/>
    <col min="5899" max="5899" width="16.85546875" style="221" bestFit="1" customWidth="1"/>
    <col min="5900" max="5900" width="14.7109375" style="221" customWidth="1"/>
    <col min="5901" max="5901" width="10" style="221" bestFit="1" customWidth="1"/>
    <col min="5902" max="5902" width="19.140625" style="221" customWidth="1"/>
    <col min="5903" max="6145" width="9.140625" style="221"/>
    <col min="6146" max="6146" width="23.85546875" style="221" customWidth="1"/>
    <col min="6147" max="6147" width="18.140625" style="221" customWidth="1"/>
    <col min="6148" max="6148" width="30.28515625" style="221" customWidth="1"/>
    <col min="6149" max="6149" width="26" style="221" customWidth="1"/>
    <col min="6150" max="6154" width="13.28515625" style="221" customWidth="1"/>
    <col min="6155" max="6155" width="16.85546875" style="221" bestFit="1" customWidth="1"/>
    <col min="6156" max="6156" width="14.7109375" style="221" customWidth="1"/>
    <col min="6157" max="6157" width="10" style="221" bestFit="1" customWidth="1"/>
    <col min="6158" max="6158" width="19.140625" style="221" customWidth="1"/>
    <col min="6159" max="6401" width="9.140625" style="221"/>
    <col min="6402" max="6402" width="23.85546875" style="221" customWidth="1"/>
    <col min="6403" max="6403" width="18.140625" style="221" customWidth="1"/>
    <col min="6404" max="6404" width="30.28515625" style="221" customWidth="1"/>
    <col min="6405" max="6405" width="26" style="221" customWidth="1"/>
    <col min="6406" max="6410" width="13.28515625" style="221" customWidth="1"/>
    <col min="6411" max="6411" width="16.85546875" style="221" bestFit="1" customWidth="1"/>
    <col min="6412" max="6412" width="14.7109375" style="221" customWidth="1"/>
    <col min="6413" max="6413" width="10" style="221" bestFit="1" customWidth="1"/>
    <col min="6414" max="6414" width="19.140625" style="221" customWidth="1"/>
    <col min="6415" max="6657" width="9.140625" style="221"/>
    <col min="6658" max="6658" width="23.85546875" style="221" customWidth="1"/>
    <col min="6659" max="6659" width="18.140625" style="221" customWidth="1"/>
    <col min="6660" max="6660" width="30.28515625" style="221" customWidth="1"/>
    <col min="6661" max="6661" width="26" style="221" customWidth="1"/>
    <col min="6662" max="6666" width="13.28515625" style="221" customWidth="1"/>
    <col min="6667" max="6667" width="16.85546875" style="221" bestFit="1" customWidth="1"/>
    <col min="6668" max="6668" width="14.7109375" style="221" customWidth="1"/>
    <col min="6669" max="6669" width="10" style="221" bestFit="1" customWidth="1"/>
    <col min="6670" max="6670" width="19.140625" style="221" customWidth="1"/>
    <col min="6671" max="6913" width="9.140625" style="221"/>
    <col min="6914" max="6914" width="23.85546875" style="221" customWidth="1"/>
    <col min="6915" max="6915" width="18.140625" style="221" customWidth="1"/>
    <col min="6916" max="6916" width="30.28515625" style="221" customWidth="1"/>
    <col min="6917" max="6917" width="26" style="221" customWidth="1"/>
    <col min="6918" max="6922" width="13.28515625" style="221" customWidth="1"/>
    <col min="6923" max="6923" width="16.85546875" style="221" bestFit="1" customWidth="1"/>
    <col min="6924" max="6924" width="14.7109375" style="221" customWidth="1"/>
    <col min="6925" max="6925" width="10" style="221" bestFit="1" customWidth="1"/>
    <col min="6926" max="6926" width="19.140625" style="221" customWidth="1"/>
    <col min="6927" max="7169" width="9.140625" style="221"/>
    <col min="7170" max="7170" width="23.85546875" style="221" customWidth="1"/>
    <col min="7171" max="7171" width="18.140625" style="221" customWidth="1"/>
    <col min="7172" max="7172" width="30.28515625" style="221" customWidth="1"/>
    <col min="7173" max="7173" width="26" style="221" customWidth="1"/>
    <col min="7174" max="7178" width="13.28515625" style="221" customWidth="1"/>
    <col min="7179" max="7179" width="16.85546875" style="221" bestFit="1" customWidth="1"/>
    <col min="7180" max="7180" width="14.7109375" style="221" customWidth="1"/>
    <col min="7181" max="7181" width="10" style="221" bestFit="1" customWidth="1"/>
    <col min="7182" max="7182" width="19.140625" style="221" customWidth="1"/>
    <col min="7183" max="7425" width="9.140625" style="221"/>
    <col min="7426" max="7426" width="23.85546875" style="221" customWidth="1"/>
    <col min="7427" max="7427" width="18.140625" style="221" customWidth="1"/>
    <col min="7428" max="7428" width="30.28515625" style="221" customWidth="1"/>
    <col min="7429" max="7429" width="26" style="221" customWidth="1"/>
    <col min="7430" max="7434" width="13.28515625" style="221" customWidth="1"/>
    <col min="7435" max="7435" width="16.85546875" style="221" bestFit="1" customWidth="1"/>
    <col min="7436" max="7436" width="14.7109375" style="221" customWidth="1"/>
    <col min="7437" max="7437" width="10" style="221" bestFit="1" customWidth="1"/>
    <col min="7438" max="7438" width="19.140625" style="221" customWidth="1"/>
    <col min="7439" max="7681" width="9.140625" style="221"/>
    <col min="7682" max="7682" width="23.85546875" style="221" customWidth="1"/>
    <col min="7683" max="7683" width="18.140625" style="221" customWidth="1"/>
    <col min="7684" max="7684" width="30.28515625" style="221" customWidth="1"/>
    <col min="7685" max="7685" width="26" style="221" customWidth="1"/>
    <col min="7686" max="7690" width="13.28515625" style="221" customWidth="1"/>
    <col min="7691" max="7691" width="16.85546875" style="221" bestFit="1" customWidth="1"/>
    <col min="7692" max="7692" width="14.7109375" style="221" customWidth="1"/>
    <col min="7693" max="7693" width="10" style="221" bestFit="1" customWidth="1"/>
    <col min="7694" max="7694" width="19.140625" style="221" customWidth="1"/>
    <col min="7695" max="7937" width="9.140625" style="221"/>
    <col min="7938" max="7938" width="23.85546875" style="221" customWidth="1"/>
    <col min="7939" max="7939" width="18.140625" style="221" customWidth="1"/>
    <col min="7940" max="7940" width="30.28515625" style="221" customWidth="1"/>
    <col min="7941" max="7941" width="26" style="221" customWidth="1"/>
    <col min="7942" max="7946" width="13.28515625" style="221" customWidth="1"/>
    <col min="7947" max="7947" width="16.85546875" style="221" bestFit="1" customWidth="1"/>
    <col min="7948" max="7948" width="14.7109375" style="221" customWidth="1"/>
    <col min="7949" max="7949" width="10" style="221" bestFit="1" customWidth="1"/>
    <col min="7950" max="7950" width="19.140625" style="221" customWidth="1"/>
    <col min="7951" max="8193" width="9.140625" style="221"/>
    <col min="8194" max="8194" width="23.85546875" style="221" customWidth="1"/>
    <col min="8195" max="8195" width="18.140625" style="221" customWidth="1"/>
    <col min="8196" max="8196" width="30.28515625" style="221" customWidth="1"/>
    <col min="8197" max="8197" width="26" style="221" customWidth="1"/>
    <col min="8198" max="8202" width="13.28515625" style="221" customWidth="1"/>
    <col min="8203" max="8203" width="16.85546875" style="221" bestFit="1" customWidth="1"/>
    <col min="8204" max="8204" width="14.7109375" style="221" customWidth="1"/>
    <col min="8205" max="8205" width="10" style="221" bestFit="1" customWidth="1"/>
    <col min="8206" max="8206" width="19.140625" style="221" customWidth="1"/>
    <col min="8207" max="8449" width="9.140625" style="221"/>
    <col min="8450" max="8450" width="23.85546875" style="221" customWidth="1"/>
    <col min="8451" max="8451" width="18.140625" style="221" customWidth="1"/>
    <col min="8452" max="8452" width="30.28515625" style="221" customWidth="1"/>
    <col min="8453" max="8453" width="26" style="221" customWidth="1"/>
    <col min="8454" max="8458" width="13.28515625" style="221" customWidth="1"/>
    <col min="8459" max="8459" width="16.85546875" style="221" bestFit="1" customWidth="1"/>
    <col min="8460" max="8460" width="14.7109375" style="221" customWidth="1"/>
    <col min="8461" max="8461" width="10" style="221" bestFit="1" customWidth="1"/>
    <col min="8462" max="8462" width="19.140625" style="221" customWidth="1"/>
    <col min="8463" max="8705" width="9.140625" style="221"/>
    <col min="8706" max="8706" width="23.85546875" style="221" customWidth="1"/>
    <col min="8707" max="8707" width="18.140625" style="221" customWidth="1"/>
    <col min="8708" max="8708" width="30.28515625" style="221" customWidth="1"/>
    <col min="8709" max="8709" width="26" style="221" customWidth="1"/>
    <col min="8710" max="8714" width="13.28515625" style="221" customWidth="1"/>
    <col min="8715" max="8715" width="16.85546875" style="221" bestFit="1" customWidth="1"/>
    <col min="8716" max="8716" width="14.7109375" style="221" customWidth="1"/>
    <col min="8717" max="8717" width="10" style="221" bestFit="1" customWidth="1"/>
    <col min="8718" max="8718" width="19.140625" style="221" customWidth="1"/>
    <col min="8719" max="8961" width="9.140625" style="221"/>
    <col min="8962" max="8962" width="23.85546875" style="221" customWidth="1"/>
    <col min="8963" max="8963" width="18.140625" style="221" customWidth="1"/>
    <col min="8964" max="8964" width="30.28515625" style="221" customWidth="1"/>
    <col min="8965" max="8965" width="26" style="221" customWidth="1"/>
    <col min="8966" max="8970" width="13.28515625" style="221" customWidth="1"/>
    <col min="8971" max="8971" width="16.85546875" style="221" bestFit="1" customWidth="1"/>
    <col min="8972" max="8972" width="14.7109375" style="221" customWidth="1"/>
    <col min="8973" max="8973" width="10" style="221" bestFit="1" customWidth="1"/>
    <col min="8974" max="8974" width="19.140625" style="221" customWidth="1"/>
    <col min="8975" max="9217" width="9.140625" style="221"/>
    <col min="9218" max="9218" width="23.85546875" style="221" customWidth="1"/>
    <col min="9219" max="9219" width="18.140625" style="221" customWidth="1"/>
    <col min="9220" max="9220" width="30.28515625" style="221" customWidth="1"/>
    <col min="9221" max="9221" width="26" style="221" customWidth="1"/>
    <col min="9222" max="9226" width="13.28515625" style="221" customWidth="1"/>
    <col min="9227" max="9227" width="16.85546875" style="221" bestFit="1" customWidth="1"/>
    <col min="9228" max="9228" width="14.7109375" style="221" customWidth="1"/>
    <col min="9229" max="9229" width="10" style="221" bestFit="1" customWidth="1"/>
    <col min="9230" max="9230" width="19.140625" style="221" customWidth="1"/>
    <col min="9231" max="9473" width="9.140625" style="221"/>
    <col min="9474" max="9474" width="23.85546875" style="221" customWidth="1"/>
    <col min="9475" max="9475" width="18.140625" style="221" customWidth="1"/>
    <col min="9476" max="9476" width="30.28515625" style="221" customWidth="1"/>
    <col min="9477" max="9477" width="26" style="221" customWidth="1"/>
    <col min="9478" max="9482" width="13.28515625" style="221" customWidth="1"/>
    <col min="9483" max="9483" width="16.85546875" style="221" bestFit="1" customWidth="1"/>
    <col min="9484" max="9484" width="14.7109375" style="221" customWidth="1"/>
    <col min="9485" max="9485" width="10" style="221" bestFit="1" customWidth="1"/>
    <col min="9486" max="9486" width="19.140625" style="221" customWidth="1"/>
    <col min="9487" max="9729" width="9.140625" style="221"/>
    <col min="9730" max="9730" width="23.85546875" style="221" customWidth="1"/>
    <col min="9731" max="9731" width="18.140625" style="221" customWidth="1"/>
    <col min="9732" max="9732" width="30.28515625" style="221" customWidth="1"/>
    <col min="9733" max="9733" width="26" style="221" customWidth="1"/>
    <col min="9734" max="9738" width="13.28515625" style="221" customWidth="1"/>
    <col min="9739" max="9739" width="16.85546875" style="221" bestFit="1" customWidth="1"/>
    <col min="9740" max="9740" width="14.7109375" style="221" customWidth="1"/>
    <col min="9741" max="9741" width="10" style="221" bestFit="1" customWidth="1"/>
    <col min="9742" max="9742" width="19.140625" style="221" customWidth="1"/>
    <col min="9743" max="9985" width="9.140625" style="221"/>
    <col min="9986" max="9986" width="23.85546875" style="221" customWidth="1"/>
    <col min="9987" max="9987" width="18.140625" style="221" customWidth="1"/>
    <col min="9988" max="9988" width="30.28515625" style="221" customWidth="1"/>
    <col min="9989" max="9989" width="26" style="221" customWidth="1"/>
    <col min="9990" max="9994" width="13.28515625" style="221" customWidth="1"/>
    <col min="9995" max="9995" width="16.85546875" style="221" bestFit="1" customWidth="1"/>
    <col min="9996" max="9996" width="14.7109375" style="221" customWidth="1"/>
    <col min="9997" max="9997" width="10" style="221" bestFit="1" customWidth="1"/>
    <col min="9998" max="9998" width="19.140625" style="221" customWidth="1"/>
    <col min="9999" max="10241" width="9.140625" style="221"/>
    <col min="10242" max="10242" width="23.85546875" style="221" customWidth="1"/>
    <col min="10243" max="10243" width="18.140625" style="221" customWidth="1"/>
    <col min="10244" max="10244" width="30.28515625" style="221" customWidth="1"/>
    <col min="10245" max="10245" width="26" style="221" customWidth="1"/>
    <col min="10246" max="10250" width="13.28515625" style="221" customWidth="1"/>
    <col min="10251" max="10251" width="16.85546875" style="221" bestFit="1" customWidth="1"/>
    <col min="10252" max="10252" width="14.7109375" style="221" customWidth="1"/>
    <col min="10253" max="10253" width="10" style="221" bestFit="1" customWidth="1"/>
    <col min="10254" max="10254" width="19.140625" style="221" customWidth="1"/>
    <col min="10255" max="10497" width="9.140625" style="221"/>
    <col min="10498" max="10498" width="23.85546875" style="221" customWidth="1"/>
    <col min="10499" max="10499" width="18.140625" style="221" customWidth="1"/>
    <col min="10500" max="10500" width="30.28515625" style="221" customWidth="1"/>
    <col min="10501" max="10501" width="26" style="221" customWidth="1"/>
    <col min="10502" max="10506" width="13.28515625" style="221" customWidth="1"/>
    <col min="10507" max="10507" width="16.85546875" style="221" bestFit="1" customWidth="1"/>
    <col min="10508" max="10508" width="14.7109375" style="221" customWidth="1"/>
    <col min="10509" max="10509" width="10" style="221" bestFit="1" customWidth="1"/>
    <col min="10510" max="10510" width="19.140625" style="221" customWidth="1"/>
    <col min="10511" max="10753" width="9.140625" style="221"/>
    <col min="10754" max="10754" width="23.85546875" style="221" customWidth="1"/>
    <col min="10755" max="10755" width="18.140625" style="221" customWidth="1"/>
    <col min="10756" max="10756" width="30.28515625" style="221" customWidth="1"/>
    <col min="10757" max="10757" width="26" style="221" customWidth="1"/>
    <col min="10758" max="10762" width="13.28515625" style="221" customWidth="1"/>
    <col min="10763" max="10763" width="16.85546875" style="221" bestFit="1" customWidth="1"/>
    <col min="10764" max="10764" width="14.7109375" style="221" customWidth="1"/>
    <col min="10765" max="10765" width="10" style="221" bestFit="1" customWidth="1"/>
    <col min="10766" max="10766" width="19.140625" style="221" customWidth="1"/>
    <col min="10767" max="11009" width="9.140625" style="221"/>
    <col min="11010" max="11010" width="23.85546875" style="221" customWidth="1"/>
    <col min="11011" max="11011" width="18.140625" style="221" customWidth="1"/>
    <col min="11012" max="11012" width="30.28515625" style="221" customWidth="1"/>
    <col min="11013" max="11013" width="26" style="221" customWidth="1"/>
    <col min="11014" max="11018" width="13.28515625" style="221" customWidth="1"/>
    <col min="11019" max="11019" width="16.85546875" style="221" bestFit="1" customWidth="1"/>
    <col min="11020" max="11020" width="14.7109375" style="221" customWidth="1"/>
    <col min="11021" max="11021" width="10" style="221" bestFit="1" customWidth="1"/>
    <col min="11022" max="11022" width="19.140625" style="221" customWidth="1"/>
    <col min="11023" max="11265" width="9.140625" style="221"/>
    <col min="11266" max="11266" width="23.85546875" style="221" customWidth="1"/>
    <col min="11267" max="11267" width="18.140625" style="221" customWidth="1"/>
    <col min="11268" max="11268" width="30.28515625" style="221" customWidth="1"/>
    <col min="11269" max="11269" width="26" style="221" customWidth="1"/>
    <col min="11270" max="11274" width="13.28515625" style="221" customWidth="1"/>
    <col min="11275" max="11275" width="16.85546875" style="221" bestFit="1" customWidth="1"/>
    <col min="11276" max="11276" width="14.7109375" style="221" customWidth="1"/>
    <col min="11277" max="11277" width="10" style="221" bestFit="1" customWidth="1"/>
    <col min="11278" max="11278" width="19.140625" style="221" customWidth="1"/>
    <col min="11279" max="11521" width="9.140625" style="221"/>
    <col min="11522" max="11522" width="23.85546875" style="221" customWidth="1"/>
    <col min="11523" max="11523" width="18.140625" style="221" customWidth="1"/>
    <col min="11524" max="11524" width="30.28515625" style="221" customWidth="1"/>
    <col min="11525" max="11525" width="26" style="221" customWidth="1"/>
    <col min="11526" max="11530" width="13.28515625" style="221" customWidth="1"/>
    <col min="11531" max="11531" width="16.85546875" style="221" bestFit="1" customWidth="1"/>
    <col min="11532" max="11532" width="14.7109375" style="221" customWidth="1"/>
    <col min="11533" max="11533" width="10" style="221" bestFit="1" customWidth="1"/>
    <col min="11534" max="11534" width="19.140625" style="221" customWidth="1"/>
    <col min="11535" max="11777" width="9.140625" style="221"/>
    <col min="11778" max="11778" width="23.85546875" style="221" customWidth="1"/>
    <col min="11779" max="11779" width="18.140625" style="221" customWidth="1"/>
    <col min="11780" max="11780" width="30.28515625" style="221" customWidth="1"/>
    <col min="11781" max="11781" width="26" style="221" customWidth="1"/>
    <col min="11782" max="11786" width="13.28515625" style="221" customWidth="1"/>
    <col min="11787" max="11787" width="16.85546875" style="221" bestFit="1" customWidth="1"/>
    <col min="11788" max="11788" width="14.7109375" style="221" customWidth="1"/>
    <col min="11789" max="11789" width="10" style="221" bestFit="1" customWidth="1"/>
    <col min="11790" max="11790" width="19.140625" style="221" customWidth="1"/>
    <col min="11791" max="12033" width="9.140625" style="221"/>
    <col min="12034" max="12034" width="23.85546875" style="221" customWidth="1"/>
    <col min="12035" max="12035" width="18.140625" style="221" customWidth="1"/>
    <col min="12036" max="12036" width="30.28515625" style="221" customWidth="1"/>
    <col min="12037" max="12037" width="26" style="221" customWidth="1"/>
    <col min="12038" max="12042" width="13.28515625" style="221" customWidth="1"/>
    <col min="12043" max="12043" width="16.85546875" style="221" bestFit="1" customWidth="1"/>
    <col min="12044" max="12044" width="14.7109375" style="221" customWidth="1"/>
    <col min="12045" max="12045" width="10" style="221" bestFit="1" customWidth="1"/>
    <col min="12046" max="12046" width="19.140625" style="221" customWidth="1"/>
    <col min="12047" max="12289" width="9.140625" style="221"/>
    <col min="12290" max="12290" width="23.85546875" style="221" customWidth="1"/>
    <col min="12291" max="12291" width="18.140625" style="221" customWidth="1"/>
    <col min="12292" max="12292" width="30.28515625" style="221" customWidth="1"/>
    <col min="12293" max="12293" width="26" style="221" customWidth="1"/>
    <col min="12294" max="12298" width="13.28515625" style="221" customWidth="1"/>
    <col min="12299" max="12299" width="16.85546875" style="221" bestFit="1" customWidth="1"/>
    <col min="12300" max="12300" width="14.7109375" style="221" customWidth="1"/>
    <col min="12301" max="12301" width="10" style="221" bestFit="1" customWidth="1"/>
    <col min="12302" max="12302" width="19.140625" style="221" customWidth="1"/>
    <col min="12303" max="12545" width="9.140625" style="221"/>
    <col min="12546" max="12546" width="23.85546875" style="221" customWidth="1"/>
    <col min="12547" max="12547" width="18.140625" style="221" customWidth="1"/>
    <col min="12548" max="12548" width="30.28515625" style="221" customWidth="1"/>
    <col min="12549" max="12549" width="26" style="221" customWidth="1"/>
    <col min="12550" max="12554" width="13.28515625" style="221" customWidth="1"/>
    <col min="12555" max="12555" width="16.85546875" style="221" bestFit="1" customWidth="1"/>
    <col min="12556" max="12556" width="14.7109375" style="221" customWidth="1"/>
    <col min="12557" max="12557" width="10" style="221" bestFit="1" customWidth="1"/>
    <col min="12558" max="12558" width="19.140625" style="221" customWidth="1"/>
    <col min="12559" max="12801" width="9.140625" style="221"/>
    <col min="12802" max="12802" width="23.85546875" style="221" customWidth="1"/>
    <col min="12803" max="12803" width="18.140625" style="221" customWidth="1"/>
    <col min="12804" max="12804" width="30.28515625" style="221" customWidth="1"/>
    <col min="12805" max="12805" width="26" style="221" customWidth="1"/>
    <col min="12806" max="12810" width="13.28515625" style="221" customWidth="1"/>
    <col min="12811" max="12811" width="16.85546875" style="221" bestFit="1" customWidth="1"/>
    <col min="12812" max="12812" width="14.7109375" style="221" customWidth="1"/>
    <col min="12813" max="12813" width="10" style="221" bestFit="1" customWidth="1"/>
    <col min="12814" max="12814" width="19.140625" style="221" customWidth="1"/>
    <col min="12815" max="13057" width="9.140625" style="221"/>
    <col min="13058" max="13058" width="23.85546875" style="221" customWidth="1"/>
    <col min="13059" max="13059" width="18.140625" style="221" customWidth="1"/>
    <col min="13060" max="13060" width="30.28515625" style="221" customWidth="1"/>
    <col min="13061" max="13061" width="26" style="221" customWidth="1"/>
    <col min="13062" max="13066" width="13.28515625" style="221" customWidth="1"/>
    <col min="13067" max="13067" width="16.85546875" style="221" bestFit="1" customWidth="1"/>
    <col min="13068" max="13068" width="14.7109375" style="221" customWidth="1"/>
    <col min="13069" max="13069" width="10" style="221" bestFit="1" customWidth="1"/>
    <col min="13070" max="13070" width="19.140625" style="221" customWidth="1"/>
    <col min="13071" max="13313" width="9.140625" style="221"/>
    <col min="13314" max="13314" width="23.85546875" style="221" customWidth="1"/>
    <col min="13315" max="13315" width="18.140625" style="221" customWidth="1"/>
    <col min="13316" max="13316" width="30.28515625" style="221" customWidth="1"/>
    <col min="13317" max="13317" width="26" style="221" customWidth="1"/>
    <col min="13318" max="13322" width="13.28515625" style="221" customWidth="1"/>
    <col min="13323" max="13323" width="16.85546875" style="221" bestFit="1" customWidth="1"/>
    <col min="13324" max="13324" width="14.7109375" style="221" customWidth="1"/>
    <col min="13325" max="13325" width="10" style="221" bestFit="1" customWidth="1"/>
    <col min="13326" max="13326" width="19.140625" style="221" customWidth="1"/>
    <col min="13327" max="13569" width="9.140625" style="221"/>
    <col min="13570" max="13570" width="23.85546875" style="221" customWidth="1"/>
    <col min="13571" max="13571" width="18.140625" style="221" customWidth="1"/>
    <col min="13572" max="13572" width="30.28515625" style="221" customWidth="1"/>
    <col min="13573" max="13573" width="26" style="221" customWidth="1"/>
    <col min="13574" max="13578" width="13.28515625" style="221" customWidth="1"/>
    <col min="13579" max="13579" width="16.85546875" style="221" bestFit="1" customWidth="1"/>
    <col min="13580" max="13580" width="14.7109375" style="221" customWidth="1"/>
    <col min="13581" max="13581" width="10" style="221" bestFit="1" customWidth="1"/>
    <col min="13582" max="13582" width="19.140625" style="221" customWidth="1"/>
    <col min="13583" max="13825" width="9.140625" style="221"/>
    <col min="13826" max="13826" width="23.85546875" style="221" customWidth="1"/>
    <col min="13827" max="13827" width="18.140625" style="221" customWidth="1"/>
    <col min="13828" max="13828" width="30.28515625" style="221" customWidth="1"/>
    <col min="13829" max="13829" width="26" style="221" customWidth="1"/>
    <col min="13830" max="13834" width="13.28515625" style="221" customWidth="1"/>
    <col min="13835" max="13835" width="16.85546875" style="221" bestFit="1" customWidth="1"/>
    <col min="13836" max="13836" width="14.7109375" style="221" customWidth="1"/>
    <col min="13837" max="13837" width="10" style="221" bestFit="1" customWidth="1"/>
    <col min="13838" max="13838" width="19.140625" style="221" customWidth="1"/>
    <col min="13839" max="14081" width="9.140625" style="221"/>
    <col min="14082" max="14082" width="23.85546875" style="221" customWidth="1"/>
    <col min="14083" max="14083" width="18.140625" style="221" customWidth="1"/>
    <col min="14084" max="14084" width="30.28515625" style="221" customWidth="1"/>
    <col min="14085" max="14085" width="26" style="221" customWidth="1"/>
    <col min="14086" max="14090" width="13.28515625" style="221" customWidth="1"/>
    <col min="14091" max="14091" width="16.85546875" style="221" bestFit="1" customWidth="1"/>
    <col min="14092" max="14092" width="14.7109375" style="221" customWidth="1"/>
    <col min="14093" max="14093" width="10" style="221" bestFit="1" customWidth="1"/>
    <col min="14094" max="14094" width="19.140625" style="221" customWidth="1"/>
    <col min="14095" max="14337" width="9.140625" style="221"/>
    <col min="14338" max="14338" width="23.85546875" style="221" customWidth="1"/>
    <col min="14339" max="14339" width="18.140625" style="221" customWidth="1"/>
    <col min="14340" max="14340" width="30.28515625" style="221" customWidth="1"/>
    <col min="14341" max="14341" width="26" style="221" customWidth="1"/>
    <col min="14342" max="14346" width="13.28515625" style="221" customWidth="1"/>
    <col min="14347" max="14347" width="16.85546875" style="221" bestFit="1" customWidth="1"/>
    <col min="14348" max="14348" width="14.7109375" style="221" customWidth="1"/>
    <col min="14349" max="14349" width="10" style="221" bestFit="1" customWidth="1"/>
    <col min="14350" max="14350" width="19.140625" style="221" customWidth="1"/>
    <col min="14351" max="14593" width="9.140625" style="221"/>
    <col min="14594" max="14594" width="23.85546875" style="221" customWidth="1"/>
    <col min="14595" max="14595" width="18.140625" style="221" customWidth="1"/>
    <col min="14596" max="14596" width="30.28515625" style="221" customWidth="1"/>
    <col min="14597" max="14597" width="26" style="221" customWidth="1"/>
    <col min="14598" max="14602" width="13.28515625" style="221" customWidth="1"/>
    <col min="14603" max="14603" width="16.85546875" style="221" bestFit="1" customWidth="1"/>
    <col min="14604" max="14604" width="14.7109375" style="221" customWidth="1"/>
    <col min="14605" max="14605" width="10" style="221" bestFit="1" customWidth="1"/>
    <col min="14606" max="14606" width="19.140625" style="221" customWidth="1"/>
    <col min="14607" max="14849" width="9.140625" style="221"/>
    <col min="14850" max="14850" width="23.85546875" style="221" customWidth="1"/>
    <col min="14851" max="14851" width="18.140625" style="221" customWidth="1"/>
    <col min="14852" max="14852" width="30.28515625" style="221" customWidth="1"/>
    <col min="14853" max="14853" width="26" style="221" customWidth="1"/>
    <col min="14854" max="14858" width="13.28515625" style="221" customWidth="1"/>
    <col min="14859" max="14859" width="16.85546875" style="221" bestFit="1" customWidth="1"/>
    <col min="14860" max="14860" width="14.7109375" style="221" customWidth="1"/>
    <col min="14861" max="14861" width="10" style="221" bestFit="1" customWidth="1"/>
    <col min="14862" max="14862" width="19.140625" style="221" customWidth="1"/>
    <col min="14863" max="15105" width="9.140625" style="221"/>
    <col min="15106" max="15106" width="23.85546875" style="221" customWidth="1"/>
    <col min="15107" max="15107" width="18.140625" style="221" customWidth="1"/>
    <col min="15108" max="15108" width="30.28515625" style="221" customWidth="1"/>
    <col min="15109" max="15109" width="26" style="221" customWidth="1"/>
    <col min="15110" max="15114" width="13.28515625" style="221" customWidth="1"/>
    <col min="15115" max="15115" width="16.85546875" style="221" bestFit="1" customWidth="1"/>
    <col min="15116" max="15116" width="14.7109375" style="221" customWidth="1"/>
    <col min="15117" max="15117" width="10" style="221" bestFit="1" customWidth="1"/>
    <col min="15118" max="15118" width="19.140625" style="221" customWidth="1"/>
    <col min="15119" max="15361" width="9.140625" style="221"/>
    <col min="15362" max="15362" width="23.85546875" style="221" customWidth="1"/>
    <col min="15363" max="15363" width="18.140625" style="221" customWidth="1"/>
    <col min="15364" max="15364" width="30.28515625" style="221" customWidth="1"/>
    <col min="15365" max="15365" width="26" style="221" customWidth="1"/>
    <col min="15366" max="15370" width="13.28515625" style="221" customWidth="1"/>
    <col min="15371" max="15371" width="16.85546875" style="221" bestFit="1" customWidth="1"/>
    <col min="15372" max="15372" width="14.7109375" style="221" customWidth="1"/>
    <col min="15373" max="15373" width="10" style="221" bestFit="1" customWidth="1"/>
    <col min="15374" max="15374" width="19.140625" style="221" customWidth="1"/>
    <col min="15375" max="15617" width="9.140625" style="221"/>
    <col min="15618" max="15618" width="23.85546875" style="221" customWidth="1"/>
    <col min="15619" max="15619" width="18.140625" style="221" customWidth="1"/>
    <col min="15620" max="15620" width="30.28515625" style="221" customWidth="1"/>
    <col min="15621" max="15621" width="26" style="221" customWidth="1"/>
    <col min="15622" max="15626" width="13.28515625" style="221" customWidth="1"/>
    <col min="15627" max="15627" width="16.85546875" style="221" bestFit="1" customWidth="1"/>
    <col min="15628" max="15628" width="14.7109375" style="221" customWidth="1"/>
    <col min="15629" max="15629" width="10" style="221" bestFit="1" customWidth="1"/>
    <col min="15630" max="15630" width="19.140625" style="221" customWidth="1"/>
    <col min="15631" max="15873" width="9.140625" style="221"/>
    <col min="15874" max="15874" width="23.85546875" style="221" customWidth="1"/>
    <col min="15875" max="15875" width="18.140625" style="221" customWidth="1"/>
    <col min="15876" max="15876" width="30.28515625" style="221" customWidth="1"/>
    <col min="15877" max="15877" width="26" style="221" customWidth="1"/>
    <col min="15878" max="15882" width="13.28515625" style="221" customWidth="1"/>
    <col min="15883" max="15883" width="16.85546875" style="221" bestFit="1" customWidth="1"/>
    <col min="15884" max="15884" width="14.7109375" style="221" customWidth="1"/>
    <col min="15885" max="15885" width="10" style="221" bestFit="1" customWidth="1"/>
    <col min="15886" max="15886" width="19.140625" style="221" customWidth="1"/>
    <col min="15887" max="16129" width="9.140625" style="221"/>
    <col min="16130" max="16130" width="23.85546875" style="221" customWidth="1"/>
    <col min="16131" max="16131" width="18.140625" style="221" customWidth="1"/>
    <col min="16132" max="16132" width="30.28515625" style="221" customWidth="1"/>
    <col min="16133" max="16133" width="26" style="221" customWidth="1"/>
    <col min="16134" max="16138" width="13.28515625" style="221" customWidth="1"/>
    <col min="16139" max="16139" width="16.85546875" style="221" bestFit="1" customWidth="1"/>
    <col min="16140" max="16140" width="14.7109375" style="221" customWidth="1"/>
    <col min="16141" max="16141" width="10" style="221" bestFit="1" customWidth="1"/>
    <col min="16142" max="16142" width="19.140625" style="221" customWidth="1"/>
    <col min="16143" max="16384" width="9.140625" style="221"/>
  </cols>
  <sheetData>
    <row r="2" spans="1:18" s="220" customFormat="1" x14ac:dyDescent="0.25">
      <c r="A2" s="219"/>
      <c r="B2" s="219" t="s">
        <v>128</v>
      </c>
      <c r="C2" s="219"/>
      <c r="D2" s="219"/>
      <c r="F2" s="219"/>
      <c r="G2" s="220" t="s">
        <v>142</v>
      </c>
      <c r="I2" s="219"/>
      <c r="J2" s="219"/>
      <c r="K2" s="219"/>
      <c r="O2" s="238"/>
      <c r="P2" s="239"/>
      <c r="Q2" s="239"/>
      <c r="R2" s="239"/>
    </row>
    <row r="3" spans="1:18" x14ac:dyDescent="0.25">
      <c r="E3" s="222"/>
      <c r="F3" s="222"/>
      <c r="G3" s="250"/>
      <c r="H3" s="222"/>
      <c r="I3" s="222" t="s">
        <v>129</v>
      </c>
      <c r="J3" s="223">
        <f>A7</f>
        <v>2021</v>
      </c>
      <c r="K3" s="221" t="s">
        <v>130</v>
      </c>
    </row>
    <row r="4" spans="1:18" x14ac:dyDescent="0.25">
      <c r="A4" s="307" t="s">
        <v>131</v>
      </c>
      <c r="B4" s="307" t="s">
        <v>132</v>
      </c>
      <c r="C4" s="307" t="s">
        <v>133</v>
      </c>
      <c r="D4" s="307" t="s">
        <v>144</v>
      </c>
      <c r="E4" s="307" t="s">
        <v>134</v>
      </c>
      <c r="F4" s="309" t="s">
        <v>135</v>
      </c>
      <c r="G4" s="310"/>
      <c r="H4" s="310"/>
      <c r="I4" s="311"/>
      <c r="J4" s="307" t="s">
        <v>136</v>
      </c>
      <c r="K4" s="305" t="s">
        <v>137</v>
      </c>
    </row>
    <row r="5" spans="1:18" ht="66.75" customHeight="1" x14ac:dyDescent="0.25">
      <c r="A5" s="308"/>
      <c r="B5" s="308"/>
      <c r="C5" s="308"/>
      <c r="D5" s="308"/>
      <c r="E5" s="308"/>
      <c r="F5" s="224" t="s">
        <v>143</v>
      </c>
      <c r="G5" s="224" t="s">
        <v>138</v>
      </c>
      <c r="H5" s="224" t="s">
        <v>139</v>
      </c>
      <c r="I5" s="224" t="s">
        <v>140</v>
      </c>
      <c r="J5" s="308"/>
      <c r="K5" s="306"/>
    </row>
    <row r="6" spans="1:18" s="229" customFormat="1" x14ac:dyDescent="0.25">
      <c r="A6" s="228">
        <v>1</v>
      </c>
      <c r="B6" s="228">
        <v>2</v>
      </c>
      <c r="C6" s="228">
        <v>3</v>
      </c>
      <c r="D6" s="228">
        <v>4</v>
      </c>
      <c r="E6" s="228">
        <f>D6+1</f>
        <v>5</v>
      </c>
      <c r="F6" s="228">
        <f t="shared" ref="F6:J6" si="0">E6+1</f>
        <v>6</v>
      </c>
      <c r="G6" s="228">
        <f t="shared" si="0"/>
        <v>7</v>
      </c>
      <c r="H6" s="228">
        <f t="shared" si="0"/>
        <v>8</v>
      </c>
      <c r="I6" s="228">
        <f t="shared" si="0"/>
        <v>9</v>
      </c>
      <c r="J6" s="228">
        <f t="shared" si="0"/>
        <v>10</v>
      </c>
      <c r="K6" s="228">
        <f>J6+1</f>
        <v>11</v>
      </c>
    </row>
    <row r="7" spans="1:18" ht="112.5" customHeight="1" x14ac:dyDescent="0.25">
      <c r="A7" s="228">
        <v>2021</v>
      </c>
      <c r="B7" s="228" t="str">
        <f>G2</f>
        <v>J_009-51-2-01.12-0028</v>
      </c>
      <c r="C7" s="231" t="s">
        <v>147</v>
      </c>
      <c r="D7" s="232">
        <v>1941712.4293000002</v>
      </c>
      <c r="E7" s="232">
        <f>SUM(F7:I7)</f>
        <v>88250.799999998955</v>
      </c>
      <c r="F7" s="232">
        <v>22530.37</v>
      </c>
      <c r="G7" s="232">
        <v>40918</v>
      </c>
      <c r="H7" s="232">
        <v>24719.996999998952</v>
      </c>
      <c r="I7" s="232">
        <v>82.432999999999993</v>
      </c>
      <c r="J7" s="232">
        <f>D7</f>
        <v>1941712.4293000002</v>
      </c>
      <c r="K7" s="232">
        <f>ROUND((J7-G7-I7-2075.4881-723749950.04/1000-H7)*1.2+G7+I7+723749950.04/1000*1.18+2075.4881*1.18+H7*1.18,5)</f>
        <v>2306843.9198599998</v>
      </c>
      <c r="O7" s="251"/>
    </row>
    <row r="8" spans="1:18" s="225" customFormat="1" ht="31.5" customHeight="1" x14ac:dyDescent="0.25">
      <c r="A8" s="233" t="s">
        <v>141</v>
      </c>
      <c r="B8" s="252"/>
      <c r="C8" s="253"/>
      <c r="D8" s="230"/>
      <c r="E8" s="230"/>
      <c r="F8" s="230"/>
      <c r="G8" s="230"/>
      <c r="H8" s="230"/>
      <c r="I8" s="230"/>
      <c r="J8" s="254">
        <f>J7</f>
        <v>1941712.4293000002</v>
      </c>
      <c r="K8" s="255">
        <f>SUM(K7:K7)</f>
        <v>2306843.9198599998</v>
      </c>
      <c r="O8" s="256"/>
      <c r="P8" s="257"/>
    </row>
    <row r="9" spans="1:18" ht="58.5" customHeight="1" x14ac:dyDescent="0.25"/>
    <row r="10" spans="1:18" ht="58.5" customHeight="1" x14ac:dyDescent="0.25">
      <c r="O10" s="242"/>
    </row>
    <row r="11" spans="1:18" ht="15" customHeight="1" x14ac:dyDescent="0.25">
      <c r="B11" s="312"/>
      <c r="C11" s="312"/>
      <c r="E11" s="226"/>
    </row>
    <row r="12" spans="1:18" ht="15" customHeight="1" x14ac:dyDescent="0.25">
      <c r="B12" s="243"/>
      <c r="D12" s="244"/>
    </row>
    <row r="13" spans="1:18" ht="15" customHeight="1" x14ac:dyDescent="0.25">
      <c r="D13" s="243"/>
    </row>
    <row r="14" spans="1:18" ht="89.25" customHeight="1" x14ac:dyDescent="0.25">
      <c r="D14" s="243"/>
    </row>
    <row r="15" spans="1:18" x14ac:dyDescent="0.25">
      <c r="D15" s="243"/>
    </row>
    <row r="16" spans="1:18" x14ac:dyDescent="0.25">
      <c r="D16" s="243"/>
    </row>
    <row r="17" spans="3:9" x14ac:dyDescent="0.25">
      <c r="D17" s="243"/>
    </row>
    <row r="18" spans="3:9" x14ac:dyDescent="0.25">
      <c r="D18" s="243"/>
    </row>
    <row r="20" spans="3:9" x14ac:dyDescent="0.25">
      <c r="E20" s="240"/>
      <c r="F20" s="240"/>
      <c r="G20" s="240"/>
      <c r="H20" s="240"/>
      <c r="I20" s="240"/>
    </row>
    <row r="21" spans="3:9" x14ac:dyDescent="0.25">
      <c r="D21" s="241">
        <v>0</v>
      </c>
    </row>
    <row r="26" spans="3:9" x14ac:dyDescent="0.25">
      <c r="C26" s="227"/>
    </row>
  </sheetData>
  <mergeCells count="9">
    <mergeCell ref="K4:K5"/>
    <mergeCell ref="J4:J5"/>
    <mergeCell ref="F4:I4"/>
    <mergeCell ref="B11:C11"/>
    <mergeCell ref="A4:A5"/>
    <mergeCell ref="B4:B5"/>
    <mergeCell ref="C4:C5"/>
    <mergeCell ref="D4:D5"/>
    <mergeCell ref="E4:E5"/>
  </mergeCells>
  <conditionalFormatting sqref="N10:N12">
    <cfRule type="containsText" dxfId="0" priority="1" operator="containsText" text="ложь">
      <formula>NOT(ISERROR(SEARCH("ложь",N10)))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Расчет с НДС</vt:lpstr>
      <vt:lpstr>'сводка затрат'!Заголовки_для_печати</vt:lpstr>
      <vt:lpstr>'сводка затрат'!Область_печати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2019-01-24T14:59:44Z</dcterms:created>
  <dcterms:modified xsi:type="dcterms:W3CDTF">2019-03-18T09:00:05Z</dcterms:modified>
</cp:coreProperties>
</file>